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返済予定表" sheetId="1" state="visible" r:id="rId1"/>
    <sheet xmlns:r="http://schemas.openxmlformats.org/officeDocument/2006/relationships" name="記入例" sheetId="2" state="visible" r:id="rId2"/>
    <sheet xmlns:r="http://schemas.openxmlformats.org/officeDocument/2006/relationships" name="使い方" sheetId="3" state="visible" r:id="rId3"/>
  </sheets>
  <definedNames>
    <definedName name="_xlnm.Print_Titles" localSheetId="0">'返済予定表'!$20:$20</definedName>
    <definedName name="_xlnm.Print_Area" localSheetId="0">'返済予定表'!$A$1:$F$144</definedName>
    <definedName name="_xlnm.Print_Titles" localSheetId="1">'記入例'!$20:$20</definedName>
    <definedName name="_xlnm.Print_Area" localSheetId="1">'記入例'!$A$1:$F$144</definedName>
    <definedName name="_xlnm.Print_Area" localSheetId="2">'使い方'!$A$1:$C$26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00%"/>
    <numFmt numFmtId="165" formatCode="yyyy/m/d"/>
    <numFmt numFmtId="166" formatCode="#,##0;△#,##0;-"/>
    <numFmt numFmtId="167" formatCode="yyyy-mm-dd"/>
  </numFmts>
  <fonts count="13">
    <font>
      <name val="Calibri"/>
      <family val="2"/>
      <color theme="1"/>
      <sz val="11"/>
      <scheme val="minor"/>
    </font>
    <font>
      <name val="游ゴシック"/>
      <b val="1"/>
      <color rgb="001F4E79"/>
      <sz val="16"/>
    </font>
    <font>
      <name val="游ゴシック"/>
      <color rgb="00808080"/>
      <sz val="9"/>
    </font>
    <font>
      <name val="游ゴシック"/>
      <b val="1"/>
      <color rgb="00FFFFFF"/>
      <sz val="11"/>
    </font>
    <font>
      <name val="游ゴシック"/>
      <sz val="11"/>
    </font>
    <font>
      <name val="游ゴシック"/>
      <b val="1"/>
      <color rgb="000000FF"/>
      <sz val="11"/>
    </font>
    <font>
      <name val="游ゴシック"/>
      <b val="1"/>
      <sz val="11"/>
    </font>
    <font>
      <name val="游ゴシック"/>
      <b val="1"/>
      <color rgb="001F4E79"/>
      <sz val="10"/>
    </font>
    <font>
      <name val="游ゴシック"/>
      <color rgb="00C00000"/>
      <sz val="10"/>
    </font>
    <font>
      <name val="游ゴシック"/>
      <b val="1"/>
      <color rgb="00FFFFFF"/>
      <sz val="10"/>
    </font>
    <font>
      <name val="游ゴシック"/>
      <sz val="10"/>
    </font>
    <font>
      <name val="游ゴシック"/>
      <b val="1"/>
      <color rgb="00FFFFFF"/>
      <sz val="12"/>
    </font>
    <font>
      <name val="游ゴシック"/>
      <b val="1"/>
      <color rgb="001F4E79"/>
      <sz val="11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DDEBF7"/>
      </patternFill>
    </fill>
    <fill>
      <patternFill patternType="solid">
        <fgColor rgb="00F2F2F2"/>
      </patternFill>
    </fill>
    <fill>
      <patternFill patternType="solid">
        <fgColor rgb="00FAFAFA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applyAlignment="1" pivotButton="0" quotePrefix="0" xfId="0">
      <alignment vertical="center" indent="1"/>
    </xf>
    <xf numFmtId="0" fontId="2" fillId="0" borderId="0" applyAlignment="1" pivotButton="0" quotePrefix="0" xfId="0">
      <alignment vertical="center" indent="1"/>
    </xf>
    <xf numFmtId="0" fontId="3" fillId="2" borderId="0" applyAlignment="1" pivotButton="0" quotePrefix="0" xfId="0">
      <alignment horizontal="left" vertical="center" indent="1"/>
    </xf>
    <xf numFmtId="0" fontId="7" fillId="0" borderId="0" pivotButton="0" quotePrefix="0" xfId="0"/>
    <xf numFmtId="0" fontId="4" fillId="0" borderId="0" applyAlignment="1" pivotButton="0" quotePrefix="0" xfId="0">
      <alignment horizontal="left" vertical="center" indent="1"/>
    </xf>
    <xf numFmtId="3" fontId="5" fillId="3" borderId="1" applyAlignment="1" applyProtection="1" pivotButton="0" quotePrefix="0" xfId="0">
      <alignment horizontal="right" vertical="center" indent="1"/>
      <protection locked="0" hidden="0"/>
    </xf>
    <xf numFmtId="0" fontId="0" fillId="3" borderId="1" applyProtection="1" pivotButton="0" quotePrefix="0" xfId="0">
      <protection locked="0" hidden="0"/>
    </xf>
    <xf numFmtId="0" fontId="2" fillId="0" borderId="0" applyAlignment="1" pivotButton="0" quotePrefix="0" xfId="0">
      <alignment horizontal="left" vertical="center" indent="1"/>
    </xf>
    <xf numFmtId="0" fontId="8" fillId="0" borderId="0" applyAlignment="1" pivotButton="0" quotePrefix="0" xfId="0">
      <alignment horizontal="left" vertical="center"/>
    </xf>
    <xf numFmtId="164" fontId="5" fillId="3" borderId="1" applyAlignment="1" applyProtection="1" pivotButton="0" quotePrefix="0" xfId="0">
      <alignment horizontal="right" vertical="center" indent="1"/>
      <protection locked="0" hidden="0"/>
    </xf>
    <xf numFmtId="1" fontId="5" fillId="3" borderId="1" applyAlignment="1" applyProtection="1" pivotButton="0" quotePrefix="0" xfId="0">
      <alignment horizontal="right" vertical="center" indent="1"/>
      <protection locked="0" hidden="0"/>
    </xf>
    <xf numFmtId="165" fontId="5" fillId="3" borderId="1" applyAlignment="1" applyProtection="1" pivotButton="0" quotePrefix="0" xfId="0">
      <alignment horizontal="right" vertical="center" indent="1"/>
      <protection locked="0" hidden="0"/>
    </xf>
    <xf numFmtId="3" fontId="6" fillId="4" borderId="1" applyAlignment="1" pivotButton="0" quotePrefix="0" xfId="0">
      <alignment horizontal="right" vertical="center" indent="1"/>
    </xf>
    <xf numFmtId="0" fontId="0" fillId="4" borderId="1" pivotButton="0" quotePrefix="0" xfId="0"/>
    <xf numFmtId="3" fontId="4" fillId="4" borderId="1" applyAlignment="1" pivotButton="0" quotePrefix="0" xfId="0">
      <alignment horizontal="right" vertical="center" indent="1"/>
    </xf>
    <xf numFmtId="165" fontId="4" fillId="4" borderId="1" applyAlignment="1" pivotButton="0" quotePrefix="0" xfId="0">
      <alignment horizontal="right" vertical="center" indent="1"/>
    </xf>
    <xf numFmtId="0" fontId="9" fillId="2" borderId="1" applyAlignment="1" pivotButton="0" quotePrefix="0" xfId="0">
      <alignment horizontal="center" vertical="center"/>
    </xf>
    <xf numFmtId="1" fontId="10" fillId="0" borderId="1" applyAlignment="1" pivotButton="0" quotePrefix="0" xfId="0">
      <alignment horizontal="center" vertical="center"/>
    </xf>
    <xf numFmtId="165" fontId="10" fillId="0" borderId="1" applyAlignment="1" pivotButton="0" quotePrefix="0" xfId="0">
      <alignment horizontal="center" vertical="center"/>
    </xf>
    <xf numFmtId="166" fontId="10" fillId="0" borderId="1" applyAlignment="1" pivotButton="0" quotePrefix="0" xfId="0">
      <alignment horizontal="right" vertical="center" indent="1"/>
    </xf>
    <xf numFmtId="1" fontId="10" fillId="5" borderId="1" applyAlignment="1" pivotButton="0" quotePrefix="0" xfId="0">
      <alignment horizontal="center" vertical="center"/>
    </xf>
    <xf numFmtId="165" fontId="10" fillId="5" borderId="1" applyAlignment="1" pivotButton="0" quotePrefix="0" xfId="0">
      <alignment horizontal="center" vertical="center"/>
    </xf>
    <xf numFmtId="166" fontId="10" fillId="5" borderId="1" applyAlignment="1" pivotButton="0" quotePrefix="0" xfId="0">
      <alignment horizontal="right" vertical="center" indent="1"/>
    </xf>
    <xf numFmtId="0" fontId="2" fillId="0" borderId="0" applyAlignment="1" pivotButton="0" quotePrefix="0" xfId="0">
      <alignment horizontal="left" vertical="top" wrapText="1" indent="1"/>
    </xf>
    <xf numFmtId="0" fontId="11" fillId="2" borderId="0" applyAlignment="1" pivotButton="0" quotePrefix="0" xfId="0">
      <alignment horizontal="center" vertical="center"/>
    </xf>
    <xf numFmtId="0" fontId="12" fillId="0" borderId="0" applyAlignment="1" pivotButton="0" quotePrefix="0" xfId="0">
      <alignment vertical="center" indent="1"/>
    </xf>
    <xf numFmtId="0" fontId="10" fillId="0" borderId="0" applyAlignment="1" pivotButton="0" quotePrefix="0" xfId="0">
      <alignment vertical="center" wrapText="1" indent="1"/>
    </xf>
    <xf numFmtId="0" fontId="3" fillId="2" borderId="0" applyAlignment="1" pivotButton="0" quotePrefix="0" xfId="0">
      <alignment vertical="center" indent="1"/>
    </xf>
    <xf numFmtId="0" fontId="10" fillId="0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F4E79"/>
    <outlinePr summaryBelow="1" summaryRight="1"/>
    <pageSetUpPr fitToPage="1"/>
  </sheetPr>
  <dimension ref="A1:H144"/>
  <sheetViews>
    <sheetView showGridLines="0" workbookViewId="0">
      <pane ySplit="20" topLeftCell="A21" activePane="bottomLeft" state="frozen"/>
      <selection pane="bottomLeft" activeCell="C5" sqref="C5"/>
    </sheetView>
  </sheetViews>
  <sheetFormatPr baseColWidth="8" defaultRowHeight="15"/>
  <cols>
    <col width="9" customWidth="1" min="1" max="1"/>
    <col width="16" customWidth="1" min="2" max="2"/>
    <col width="15" customWidth="1" min="3" max="3"/>
    <col width="15" customWidth="1" min="4" max="4"/>
    <col width="14" customWidth="1" min="5" max="5"/>
    <col width="16" customWidth="1" min="6" max="6"/>
    <col width="2" customWidth="1" min="7" max="7"/>
    <col width="52" customWidth="1" min="8" max="8"/>
  </cols>
  <sheetData>
    <row r="1" ht="28" customHeight="1">
      <c r="A1" s="1" t="inlineStr">
        <is>
          <t>借入金返済予定表（元利均等返済）</t>
        </is>
      </c>
    </row>
    <row r="2">
      <c r="A2" s="2" t="inlineStr">
        <is>
          <t>無料版 v1.0　｜　青いセルに入力すると、返済予定表が自動で作成されます（最大120回・10年まで）</t>
        </is>
      </c>
    </row>
    <row r="4" ht="22" customHeight="1">
      <c r="A4" s="3" t="inlineStr">
        <is>
          <t>① 借入の条件を入力してください（青いセルだけ）</t>
        </is>
      </c>
      <c r="H4" s="4" t="inlineStr">
        <is>
          <t>▼ 入力チェック（画面のみ。印刷されません）</t>
        </is>
      </c>
    </row>
    <row r="5" ht="20" customHeight="1">
      <c r="A5" s="5" t="inlineStr">
        <is>
          <t>借入金額（円）</t>
        </is>
      </c>
      <c r="C5" s="6" t="n"/>
      <c r="D5" s="7" t="n"/>
      <c r="E5" s="8" t="inlineStr">
        <is>
          <t>例：5,000,000</t>
        </is>
      </c>
      <c r="H5" s="9">
        <f>IF($C$5="","▲ 借入金額を入力してください",IF($C$5&lt;=0,"▲ 借入金額は0より大きい金額を入力してください","✓ OK"))</f>
        <v/>
      </c>
    </row>
    <row r="6" ht="20" customHeight="1">
      <c r="A6" s="5" t="inlineStr">
        <is>
          <t>年利率（年）</t>
        </is>
      </c>
      <c r="C6" s="10" t="n"/>
      <c r="D6" s="7" t="n"/>
      <c r="E6" s="8" t="inlineStr">
        <is>
          <t>例：1.8%　※「%」を付けて入力</t>
        </is>
      </c>
      <c r="H6" s="9">
        <f>IF($C$6="","▲ 年利率を入力してください（無利息なら 0%）",IF($C$6&gt;0.3,"▲ 年利率が30%を超えています。1.8 ではなく 1.8% と入力してください",IF($C$6&lt;0,"▲ 年利率は0%以上で入力してください","✓ OK")))</f>
        <v/>
      </c>
    </row>
    <row r="7" ht="20" customHeight="1">
      <c r="A7" s="5" t="inlineStr">
        <is>
          <t>返済回数（か月）</t>
        </is>
      </c>
      <c r="C7" s="11" t="n"/>
      <c r="D7" s="7" t="n"/>
      <c r="E7" s="8" t="inlineStr">
        <is>
          <t>例：60（＝5年）　最大120</t>
        </is>
      </c>
      <c r="H7" s="9">
        <f>IF($C$7="","▲ 返済回数を入力してください",IF($C$7&gt;120,"▲ 無料版は120回（10年）までです",IF($C$7&lt;1,"▲ 返済回数は1以上の整数で入力してください","✓ OK")))</f>
        <v/>
      </c>
    </row>
    <row r="8" ht="20" customHeight="1">
      <c r="A8" s="5" t="inlineStr">
        <is>
          <t>初回返済日</t>
        </is>
      </c>
      <c r="C8" s="12" t="n"/>
      <c r="D8" s="7" t="n"/>
      <c r="E8" s="8" t="inlineStr">
        <is>
          <t>例：2026/10/31</t>
        </is>
      </c>
      <c r="H8" s="9">
        <f>IF($C$8="","▲ 初回返済日を入力してください","✓ OK")</f>
        <v/>
      </c>
    </row>
    <row r="9" ht="20" customHeight="1">
      <c r="A9" s="5" t="inlineStr">
        <is>
          <t>決算日（任意）</t>
        </is>
      </c>
      <c r="C9" s="12" t="n"/>
      <c r="D9" s="7" t="n"/>
      <c r="E9" s="8" t="inlineStr">
        <is>
          <t>入れると決算書の金額が出ます</t>
        </is>
      </c>
    </row>
    <row r="11" ht="22" customHeight="1">
      <c r="A11" s="3" t="inlineStr">
        <is>
          <t>② 計算結果（自動）</t>
        </is>
      </c>
    </row>
    <row r="12" ht="20" customHeight="1">
      <c r="A12" s="5" t="inlineStr">
        <is>
          <t>毎月の返済額</t>
        </is>
      </c>
      <c r="C12" s="13">
        <f>IF(OR($C$5="",$C$7=""),"",ROUND(PMT($C$6/12,$C$7,-$C$5),0))</f>
        <v/>
      </c>
      <c r="D12" s="14" t="n"/>
      <c r="E12" s="8" t="inlineStr">
        <is>
          <t>元金＋利息の合計（最終回を除く）</t>
        </is>
      </c>
      <c r="H12" s="9">
        <f>IF($C$12="","",IF(ROUND(SUM($D$21:$D$140),0)=$C$5,"✓ 元金の合計＝借入金額（完済チェックOK）","▲ 元金の合計が借入金額と一致しません"))</f>
        <v/>
      </c>
    </row>
    <row r="13" ht="20" customHeight="1">
      <c r="A13" s="5" t="inlineStr">
        <is>
          <t>返済総額</t>
        </is>
      </c>
      <c r="C13" s="15">
        <f>IF($C$12="","",SUM($C$21:$C$140))</f>
        <v/>
      </c>
      <c r="D13" s="14" t="n"/>
      <c r="E13" s="8" t="inlineStr">
        <is>
          <t>利息を含めた支払総額</t>
        </is>
      </c>
    </row>
    <row r="14" ht="20" customHeight="1">
      <c r="A14" s="5" t="inlineStr">
        <is>
          <t>利息の合計</t>
        </is>
      </c>
      <c r="C14" s="15">
        <f>IF($C$12="","",SUM($E$21:$E$140))</f>
        <v/>
      </c>
      <c r="D14" s="14" t="n"/>
      <c r="E14" s="8" t="inlineStr">
        <is>
          <t>支払う利息の総額</t>
        </is>
      </c>
    </row>
    <row r="15" ht="20" customHeight="1">
      <c r="A15" s="5" t="inlineStr">
        <is>
          <t>最終返済日</t>
        </is>
      </c>
      <c r="C15" s="16">
        <f>IF(OR($C$7="",$C$8=""),"",EDATE($C$8,$C$7-1))</f>
        <v/>
      </c>
      <c r="D15" s="14" t="n"/>
    </row>
    <row r="16" ht="20" customHeight="1">
      <c r="A16" s="5" t="inlineStr">
        <is>
          <t>決算日時点の借入残高</t>
        </is>
      </c>
      <c r="C16" s="15">
        <f>IF(OR($C$9="",$C$12=""),"",$C$5-SUMIF($B$21:$B$140,"&lt;="&amp;$C$9,$D$21:$D$140))</f>
        <v/>
      </c>
      <c r="D16" s="14" t="n"/>
      <c r="E16" s="8" t="inlineStr">
        <is>
          <t>決算書「借入金」の金額</t>
        </is>
      </c>
    </row>
    <row r="17" ht="20" customHeight="1">
      <c r="A17" s="5" t="inlineStr">
        <is>
          <t>うち1年内に返済する元金</t>
        </is>
      </c>
      <c r="C17" s="15">
        <f>IF(OR($C$9="",$C$12=""),"",SUMIFS($D$21:$D$140,$B$21:$B$140,"&gt;"&amp;$C$9,$B$21:$B$140,"&lt;="&amp;EDATE($C$9,12)))</f>
        <v/>
      </c>
      <c r="D17" s="14" t="n"/>
      <c r="E17" s="8" t="inlineStr">
        <is>
          <t>1年内返済長期借入金</t>
        </is>
      </c>
      <c r="H17" s="9">
        <f>IF($C$17="","",IF($C$17&gt;$C$16,"▲ 1年内返済額が残高を超えています","✓ OK"))</f>
        <v/>
      </c>
    </row>
    <row r="19" ht="22" customHeight="1">
      <c r="A19" s="3" t="inlineStr">
        <is>
          <t>③ 返済予定表</t>
        </is>
      </c>
    </row>
    <row r="20" ht="20" customHeight="1">
      <c r="A20" s="17" t="inlineStr">
        <is>
          <t>回数</t>
        </is>
      </c>
      <c r="B20" s="17" t="inlineStr">
        <is>
          <t>返済日</t>
        </is>
      </c>
      <c r="C20" s="17" t="inlineStr">
        <is>
          <t>返済額</t>
        </is>
      </c>
      <c r="D20" s="17" t="inlineStr">
        <is>
          <t>うち元金</t>
        </is>
      </c>
      <c r="E20" s="17" t="inlineStr">
        <is>
          <t>うち利息</t>
        </is>
      </c>
      <c r="F20" s="17" t="inlineStr">
        <is>
          <t>返済後残高</t>
        </is>
      </c>
    </row>
    <row r="21" ht="17" customHeight="1">
      <c r="A21" s="18">
        <f>IF(1&lt;=$C$7,1,"")</f>
        <v/>
      </c>
      <c r="B21" s="19">
        <f>IF($A21="","",IF($C$8="","",EDATE($C$8,$A21-1)))</f>
        <v/>
      </c>
      <c r="C21" s="20">
        <f>IF($A21="","",$D21+$E21)</f>
        <v/>
      </c>
      <c r="D21" s="20">
        <f>IF($A21="","",IF($A21=$C$7,$C$5,MIN($C$5,MAX(0,$C$12-$E21))))</f>
        <v/>
      </c>
      <c r="E21" s="20">
        <f>IF($A21="","",ROUNDDOWN(ROUND($C$5*$C$6/12,4),0))</f>
        <v/>
      </c>
      <c r="F21" s="20">
        <f>IF($A21="","",$C$5-$D21)</f>
        <v/>
      </c>
    </row>
    <row r="22" ht="17" customHeight="1">
      <c r="A22" s="21">
        <f>IF(2&lt;=$C$7,2,"")</f>
        <v/>
      </c>
      <c r="B22" s="22">
        <f>IF($A22="","",IF($C$8="","",EDATE($C$8,$A22-1)))</f>
        <v/>
      </c>
      <c r="C22" s="23">
        <f>IF($A22="","",$D22+$E22)</f>
        <v/>
      </c>
      <c r="D22" s="23">
        <f>IF($A22="","",IF($A22=$C$7,$F21,MIN($F21,MAX(0,$C$12-$E22))))</f>
        <v/>
      </c>
      <c r="E22" s="23">
        <f>IF($A22="","",ROUNDDOWN(ROUND($F21*$C$6/12,4),0))</f>
        <v/>
      </c>
      <c r="F22" s="23">
        <f>IF($A22="","",$F21-$D22)</f>
        <v/>
      </c>
    </row>
    <row r="23" ht="17" customHeight="1">
      <c r="A23" s="18">
        <f>IF(3&lt;=$C$7,3,"")</f>
        <v/>
      </c>
      <c r="B23" s="19">
        <f>IF($A23="","",IF($C$8="","",EDATE($C$8,$A23-1)))</f>
        <v/>
      </c>
      <c r="C23" s="20">
        <f>IF($A23="","",$D23+$E23)</f>
        <v/>
      </c>
      <c r="D23" s="20">
        <f>IF($A23="","",IF($A23=$C$7,$F22,MIN($F22,MAX(0,$C$12-$E23))))</f>
        <v/>
      </c>
      <c r="E23" s="20">
        <f>IF($A23="","",ROUNDDOWN(ROUND($F22*$C$6/12,4),0))</f>
        <v/>
      </c>
      <c r="F23" s="20">
        <f>IF($A23="","",$F22-$D23)</f>
        <v/>
      </c>
    </row>
    <row r="24" ht="17" customHeight="1">
      <c r="A24" s="21">
        <f>IF(4&lt;=$C$7,4,"")</f>
        <v/>
      </c>
      <c r="B24" s="22">
        <f>IF($A24="","",IF($C$8="","",EDATE($C$8,$A24-1)))</f>
        <v/>
      </c>
      <c r="C24" s="23">
        <f>IF($A24="","",$D24+$E24)</f>
        <v/>
      </c>
      <c r="D24" s="23">
        <f>IF($A24="","",IF($A24=$C$7,$F23,MIN($F23,MAX(0,$C$12-$E24))))</f>
        <v/>
      </c>
      <c r="E24" s="23">
        <f>IF($A24="","",ROUNDDOWN(ROUND($F23*$C$6/12,4),0))</f>
        <v/>
      </c>
      <c r="F24" s="23">
        <f>IF($A24="","",$F23-$D24)</f>
        <v/>
      </c>
    </row>
    <row r="25" ht="17" customHeight="1">
      <c r="A25" s="18">
        <f>IF(5&lt;=$C$7,5,"")</f>
        <v/>
      </c>
      <c r="B25" s="19">
        <f>IF($A25="","",IF($C$8="","",EDATE($C$8,$A25-1)))</f>
        <v/>
      </c>
      <c r="C25" s="20">
        <f>IF($A25="","",$D25+$E25)</f>
        <v/>
      </c>
      <c r="D25" s="20">
        <f>IF($A25="","",IF($A25=$C$7,$F24,MIN($F24,MAX(0,$C$12-$E25))))</f>
        <v/>
      </c>
      <c r="E25" s="20">
        <f>IF($A25="","",ROUNDDOWN(ROUND($F24*$C$6/12,4),0))</f>
        <v/>
      </c>
      <c r="F25" s="20">
        <f>IF($A25="","",$F24-$D25)</f>
        <v/>
      </c>
    </row>
    <row r="26" ht="17" customHeight="1">
      <c r="A26" s="21">
        <f>IF(6&lt;=$C$7,6,"")</f>
        <v/>
      </c>
      <c r="B26" s="22">
        <f>IF($A26="","",IF($C$8="","",EDATE($C$8,$A26-1)))</f>
        <v/>
      </c>
      <c r="C26" s="23">
        <f>IF($A26="","",$D26+$E26)</f>
        <v/>
      </c>
      <c r="D26" s="23">
        <f>IF($A26="","",IF($A26=$C$7,$F25,MIN($F25,MAX(0,$C$12-$E26))))</f>
        <v/>
      </c>
      <c r="E26" s="23">
        <f>IF($A26="","",ROUNDDOWN(ROUND($F25*$C$6/12,4),0))</f>
        <v/>
      </c>
      <c r="F26" s="23">
        <f>IF($A26="","",$F25-$D26)</f>
        <v/>
      </c>
    </row>
    <row r="27" ht="17" customHeight="1">
      <c r="A27" s="18">
        <f>IF(7&lt;=$C$7,7,"")</f>
        <v/>
      </c>
      <c r="B27" s="19">
        <f>IF($A27="","",IF($C$8="","",EDATE($C$8,$A27-1)))</f>
        <v/>
      </c>
      <c r="C27" s="20">
        <f>IF($A27="","",$D27+$E27)</f>
        <v/>
      </c>
      <c r="D27" s="20">
        <f>IF($A27="","",IF($A27=$C$7,$F26,MIN($F26,MAX(0,$C$12-$E27))))</f>
        <v/>
      </c>
      <c r="E27" s="20">
        <f>IF($A27="","",ROUNDDOWN(ROUND($F26*$C$6/12,4),0))</f>
        <v/>
      </c>
      <c r="F27" s="20">
        <f>IF($A27="","",$F26-$D27)</f>
        <v/>
      </c>
    </row>
    <row r="28" ht="17" customHeight="1">
      <c r="A28" s="21">
        <f>IF(8&lt;=$C$7,8,"")</f>
        <v/>
      </c>
      <c r="B28" s="22">
        <f>IF($A28="","",IF($C$8="","",EDATE($C$8,$A28-1)))</f>
        <v/>
      </c>
      <c r="C28" s="23">
        <f>IF($A28="","",$D28+$E28)</f>
        <v/>
      </c>
      <c r="D28" s="23">
        <f>IF($A28="","",IF($A28=$C$7,$F27,MIN($F27,MAX(0,$C$12-$E28))))</f>
        <v/>
      </c>
      <c r="E28" s="23">
        <f>IF($A28="","",ROUNDDOWN(ROUND($F27*$C$6/12,4),0))</f>
        <v/>
      </c>
      <c r="F28" s="23">
        <f>IF($A28="","",$F27-$D28)</f>
        <v/>
      </c>
    </row>
    <row r="29" ht="17" customHeight="1">
      <c r="A29" s="18">
        <f>IF(9&lt;=$C$7,9,"")</f>
        <v/>
      </c>
      <c r="B29" s="19">
        <f>IF($A29="","",IF($C$8="","",EDATE($C$8,$A29-1)))</f>
        <v/>
      </c>
      <c r="C29" s="20">
        <f>IF($A29="","",$D29+$E29)</f>
        <v/>
      </c>
      <c r="D29" s="20">
        <f>IF($A29="","",IF($A29=$C$7,$F28,MIN($F28,MAX(0,$C$12-$E29))))</f>
        <v/>
      </c>
      <c r="E29" s="20">
        <f>IF($A29="","",ROUNDDOWN(ROUND($F28*$C$6/12,4),0))</f>
        <v/>
      </c>
      <c r="F29" s="20">
        <f>IF($A29="","",$F28-$D29)</f>
        <v/>
      </c>
    </row>
    <row r="30" ht="17" customHeight="1">
      <c r="A30" s="21">
        <f>IF(10&lt;=$C$7,10,"")</f>
        <v/>
      </c>
      <c r="B30" s="22">
        <f>IF($A30="","",IF($C$8="","",EDATE($C$8,$A30-1)))</f>
        <v/>
      </c>
      <c r="C30" s="23">
        <f>IF($A30="","",$D30+$E30)</f>
        <v/>
      </c>
      <c r="D30" s="23">
        <f>IF($A30="","",IF($A30=$C$7,$F29,MIN($F29,MAX(0,$C$12-$E30))))</f>
        <v/>
      </c>
      <c r="E30" s="23">
        <f>IF($A30="","",ROUNDDOWN(ROUND($F29*$C$6/12,4),0))</f>
        <v/>
      </c>
      <c r="F30" s="23">
        <f>IF($A30="","",$F29-$D30)</f>
        <v/>
      </c>
    </row>
    <row r="31" ht="17" customHeight="1">
      <c r="A31" s="18">
        <f>IF(11&lt;=$C$7,11,"")</f>
        <v/>
      </c>
      <c r="B31" s="19">
        <f>IF($A31="","",IF($C$8="","",EDATE($C$8,$A31-1)))</f>
        <v/>
      </c>
      <c r="C31" s="20">
        <f>IF($A31="","",$D31+$E31)</f>
        <v/>
      </c>
      <c r="D31" s="20">
        <f>IF($A31="","",IF($A31=$C$7,$F30,MIN($F30,MAX(0,$C$12-$E31))))</f>
        <v/>
      </c>
      <c r="E31" s="20">
        <f>IF($A31="","",ROUNDDOWN(ROUND($F30*$C$6/12,4),0))</f>
        <v/>
      </c>
      <c r="F31" s="20">
        <f>IF($A31="","",$F30-$D31)</f>
        <v/>
      </c>
    </row>
    <row r="32" ht="17" customHeight="1">
      <c r="A32" s="21">
        <f>IF(12&lt;=$C$7,12,"")</f>
        <v/>
      </c>
      <c r="B32" s="22">
        <f>IF($A32="","",IF($C$8="","",EDATE($C$8,$A32-1)))</f>
        <v/>
      </c>
      <c r="C32" s="23">
        <f>IF($A32="","",$D32+$E32)</f>
        <v/>
      </c>
      <c r="D32" s="23">
        <f>IF($A32="","",IF($A32=$C$7,$F31,MIN($F31,MAX(0,$C$12-$E32))))</f>
        <v/>
      </c>
      <c r="E32" s="23">
        <f>IF($A32="","",ROUNDDOWN(ROUND($F31*$C$6/12,4),0))</f>
        <v/>
      </c>
      <c r="F32" s="23">
        <f>IF($A32="","",$F31-$D32)</f>
        <v/>
      </c>
    </row>
    <row r="33" ht="17" customHeight="1">
      <c r="A33" s="18">
        <f>IF(13&lt;=$C$7,13,"")</f>
        <v/>
      </c>
      <c r="B33" s="19">
        <f>IF($A33="","",IF($C$8="","",EDATE($C$8,$A33-1)))</f>
        <v/>
      </c>
      <c r="C33" s="20">
        <f>IF($A33="","",$D33+$E33)</f>
        <v/>
      </c>
      <c r="D33" s="20">
        <f>IF($A33="","",IF($A33=$C$7,$F32,MIN($F32,MAX(0,$C$12-$E33))))</f>
        <v/>
      </c>
      <c r="E33" s="20">
        <f>IF($A33="","",ROUNDDOWN(ROUND($F32*$C$6/12,4),0))</f>
        <v/>
      </c>
      <c r="F33" s="20">
        <f>IF($A33="","",$F32-$D33)</f>
        <v/>
      </c>
    </row>
    <row r="34" ht="17" customHeight="1">
      <c r="A34" s="21">
        <f>IF(14&lt;=$C$7,14,"")</f>
        <v/>
      </c>
      <c r="B34" s="22">
        <f>IF($A34="","",IF($C$8="","",EDATE($C$8,$A34-1)))</f>
        <v/>
      </c>
      <c r="C34" s="23">
        <f>IF($A34="","",$D34+$E34)</f>
        <v/>
      </c>
      <c r="D34" s="23">
        <f>IF($A34="","",IF($A34=$C$7,$F33,MIN($F33,MAX(0,$C$12-$E34))))</f>
        <v/>
      </c>
      <c r="E34" s="23">
        <f>IF($A34="","",ROUNDDOWN(ROUND($F33*$C$6/12,4),0))</f>
        <v/>
      </c>
      <c r="F34" s="23">
        <f>IF($A34="","",$F33-$D34)</f>
        <v/>
      </c>
    </row>
    <row r="35" ht="17" customHeight="1">
      <c r="A35" s="18">
        <f>IF(15&lt;=$C$7,15,"")</f>
        <v/>
      </c>
      <c r="B35" s="19">
        <f>IF($A35="","",IF($C$8="","",EDATE($C$8,$A35-1)))</f>
        <v/>
      </c>
      <c r="C35" s="20">
        <f>IF($A35="","",$D35+$E35)</f>
        <v/>
      </c>
      <c r="D35" s="20">
        <f>IF($A35="","",IF($A35=$C$7,$F34,MIN($F34,MAX(0,$C$12-$E35))))</f>
        <v/>
      </c>
      <c r="E35" s="20">
        <f>IF($A35="","",ROUNDDOWN(ROUND($F34*$C$6/12,4),0))</f>
        <v/>
      </c>
      <c r="F35" s="20">
        <f>IF($A35="","",$F34-$D35)</f>
        <v/>
      </c>
    </row>
    <row r="36" ht="17" customHeight="1">
      <c r="A36" s="21">
        <f>IF(16&lt;=$C$7,16,"")</f>
        <v/>
      </c>
      <c r="B36" s="22">
        <f>IF($A36="","",IF($C$8="","",EDATE($C$8,$A36-1)))</f>
        <v/>
      </c>
      <c r="C36" s="23">
        <f>IF($A36="","",$D36+$E36)</f>
        <v/>
      </c>
      <c r="D36" s="23">
        <f>IF($A36="","",IF($A36=$C$7,$F35,MIN($F35,MAX(0,$C$12-$E36))))</f>
        <v/>
      </c>
      <c r="E36" s="23">
        <f>IF($A36="","",ROUNDDOWN(ROUND($F35*$C$6/12,4),0))</f>
        <v/>
      </c>
      <c r="F36" s="23">
        <f>IF($A36="","",$F35-$D36)</f>
        <v/>
      </c>
    </row>
    <row r="37" ht="17" customHeight="1">
      <c r="A37" s="18">
        <f>IF(17&lt;=$C$7,17,"")</f>
        <v/>
      </c>
      <c r="B37" s="19">
        <f>IF($A37="","",IF($C$8="","",EDATE($C$8,$A37-1)))</f>
        <v/>
      </c>
      <c r="C37" s="20">
        <f>IF($A37="","",$D37+$E37)</f>
        <v/>
      </c>
      <c r="D37" s="20">
        <f>IF($A37="","",IF($A37=$C$7,$F36,MIN($F36,MAX(0,$C$12-$E37))))</f>
        <v/>
      </c>
      <c r="E37" s="20">
        <f>IF($A37="","",ROUNDDOWN(ROUND($F36*$C$6/12,4),0))</f>
        <v/>
      </c>
      <c r="F37" s="20">
        <f>IF($A37="","",$F36-$D37)</f>
        <v/>
      </c>
    </row>
    <row r="38" ht="17" customHeight="1">
      <c r="A38" s="21">
        <f>IF(18&lt;=$C$7,18,"")</f>
        <v/>
      </c>
      <c r="B38" s="22">
        <f>IF($A38="","",IF($C$8="","",EDATE($C$8,$A38-1)))</f>
        <v/>
      </c>
      <c r="C38" s="23">
        <f>IF($A38="","",$D38+$E38)</f>
        <v/>
      </c>
      <c r="D38" s="23">
        <f>IF($A38="","",IF($A38=$C$7,$F37,MIN($F37,MAX(0,$C$12-$E38))))</f>
        <v/>
      </c>
      <c r="E38" s="23">
        <f>IF($A38="","",ROUNDDOWN(ROUND($F37*$C$6/12,4),0))</f>
        <v/>
      </c>
      <c r="F38" s="23">
        <f>IF($A38="","",$F37-$D38)</f>
        <v/>
      </c>
    </row>
    <row r="39" ht="17" customHeight="1">
      <c r="A39" s="18">
        <f>IF(19&lt;=$C$7,19,"")</f>
        <v/>
      </c>
      <c r="B39" s="19">
        <f>IF($A39="","",IF($C$8="","",EDATE($C$8,$A39-1)))</f>
        <v/>
      </c>
      <c r="C39" s="20">
        <f>IF($A39="","",$D39+$E39)</f>
        <v/>
      </c>
      <c r="D39" s="20">
        <f>IF($A39="","",IF($A39=$C$7,$F38,MIN($F38,MAX(0,$C$12-$E39))))</f>
        <v/>
      </c>
      <c r="E39" s="20">
        <f>IF($A39="","",ROUNDDOWN(ROUND($F38*$C$6/12,4),0))</f>
        <v/>
      </c>
      <c r="F39" s="20">
        <f>IF($A39="","",$F38-$D39)</f>
        <v/>
      </c>
    </row>
    <row r="40" ht="17" customHeight="1">
      <c r="A40" s="21">
        <f>IF(20&lt;=$C$7,20,"")</f>
        <v/>
      </c>
      <c r="B40" s="22">
        <f>IF($A40="","",IF($C$8="","",EDATE($C$8,$A40-1)))</f>
        <v/>
      </c>
      <c r="C40" s="23">
        <f>IF($A40="","",$D40+$E40)</f>
        <v/>
      </c>
      <c r="D40" s="23">
        <f>IF($A40="","",IF($A40=$C$7,$F39,MIN($F39,MAX(0,$C$12-$E40))))</f>
        <v/>
      </c>
      <c r="E40" s="23">
        <f>IF($A40="","",ROUNDDOWN(ROUND($F39*$C$6/12,4),0))</f>
        <v/>
      </c>
      <c r="F40" s="23">
        <f>IF($A40="","",$F39-$D40)</f>
        <v/>
      </c>
    </row>
    <row r="41" ht="17" customHeight="1">
      <c r="A41" s="18">
        <f>IF(21&lt;=$C$7,21,"")</f>
        <v/>
      </c>
      <c r="B41" s="19">
        <f>IF($A41="","",IF($C$8="","",EDATE($C$8,$A41-1)))</f>
        <v/>
      </c>
      <c r="C41" s="20">
        <f>IF($A41="","",$D41+$E41)</f>
        <v/>
      </c>
      <c r="D41" s="20">
        <f>IF($A41="","",IF($A41=$C$7,$F40,MIN($F40,MAX(0,$C$12-$E41))))</f>
        <v/>
      </c>
      <c r="E41" s="20">
        <f>IF($A41="","",ROUNDDOWN(ROUND($F40*$C$6/12,4),0))</f>
        <v/>
      </c>
      <c r="F41" s="20">
        <f>IF($A41="","",$F40-$D41)</f>
        <v/>
      </c>
    </row>
    <row r="42" ht="17" customHeight="1">
      <c r="A42" s="21">
        <f>IF(22&lt;=$C$7,22,"")</f>
        <v/>
      </c>
      <c r="B42" s="22">
        <f>IF($A42="","",IF($C$8="","",EDATE($C$8,$A42-1)))</f>
        <v/>
      </c>
      <c r="C42" s="23">
        <f>IF($A42="","",$D42+$E42)</f>
        <v/>
      </c>
      <c r="D42" s="23">
        <f>IF($A42="","",IF($A42=$C$7,$F41,MIN($F41,MAX(0,$C$12-$E42))))</f>
        <v/>
      </c>
      <c r="E42" s="23">
        <f>IF($A42="","",ROUNDDOWN(ROUND($F41*$C$6/12,4),0))</f>
        <v/>
      </c>
      <c r="F42" s="23">
        <f>IF($A42="","",$F41-$D42)</f>
        <v/>
      </c>
    </row>
    <row r="43" ht="17" customHeight="1">
      <c r="A43" s="18">
        <f>IF(23&lt;=$C$7,23,"")</f>
        <v/>
      </c>
      <c r="B43" s="19">
        <f>IF($A43="","",IF($C$8="","",EDATE($C$8,$A43-1)))</f>
        <v/>
      </c>
      <c r="C43" s="20">
        <f>IF($A43="","",$D43+$E43)</f>
        <v/>
      </c>
      <c r="D43" s="20">
        <f>IF($A43="","",IF($A43=$C$7,$F42,MIN($F42,MAX(0,$C$12-$E43))))</f>
        <v/>
      </c>
      <c r="E43" s="20">
        <f>IF($A43="","",ROUNDDOWN(ROUND($F42*$C$6/12,4),0))</f>
        <v/>
      </c>
      <c r="F43" s="20">
        <f>IF($A43="","",$F42-$D43)</f>
        <v/>
      </c>
    </row>
    <row r="44" ht="17" customHeight="1">
      <c r="A44" s="21">
        <f>IF(24&lt;=$C$7,24,"")</f>
        <v/>
      </c>
      <c r="B44" s="22">
        <f>IF($A44="","",IF($C$8="","",EDATE($C$8,$A44-1)))</f>
        <v/>
      </c>
      <c r="C44" s="23">
        <f>IF($A44="","",$D44+$E44)</f>
        <v/>
      </c>
      <c r="D44" s="23">
        <f>IF($A44="","",IF($A44=$C$7,$F43,MIN($F43,MAX(0,$C$12-$E44))))</f>
        <v/>
      </c>
      <c r="E44" s="23">
        <f>IF($A44="","",ROUNDDOWN(ROUND($F43*$C$6/12,4),0))</f>
        <v/>
      </c>
      <c r="F44" s="23">
        <f>IF($A44="","",$F43-$D44)</f>
        <v/>
      </c>
    </row>
    <row r="45" ht="17" customHeight="1">
      <c r="A45" s="18">
        <f>IF(25&lt;=$C$7,25,"")</f>
        <v/>
      </c>
      <c r="B45" s="19">
        <f>IF($A45="","",IF($C$8="","",EDATE($C$8,$A45-1)))</f>
        <v/>
      </c>
      <c r="C45" s="20">
        <f>IF($A45="","",$D45+$E45)</f>
        <v/>
      </c>
      <c r="D45" s="20">
        <f>IF($A45="","",IF($A45=$C$7,$F44,MIN($F44,MAX(0,$C$12-$E45))))</f>
        <v/>
      </c>
      <c r="E45" s="20">
        <f>IF($A45="","",ROUNDDOWN(ROUND($F44*$C$6/12,4),0))</f>
        <v/>
      </c>
      <c r="F45" s="20">
        <f>IF($A45="","",$F44-$D45)</f>
        <v/>
      </c>
    </row>
    <row r="46" ht="17" customHeight="1">
      <c r="A46" s="21">
        <f>IF(26&lt;=$C$7,26,"")</f>
        <v/>
      </c>
      <c r="B46" s="22">
        <f>IF($A46="","",IF($C$8="","",EDATE($C$8,$A46-1)))</f>
        <v/>
      </c>
      <c r="C46" s="23">
        <f>IF($A46="","",$D46+$E46)</f>
        <v/>
      </c>
      <c r="D46" s="23">
        <f>IF($A46="","",IF($A46=$C$7,$F45,MIN($F45,MAX(0,$C$12-$E46))))</f>
        <v/>
      </c>
      <c r="E46" s="23">
        <f>IF($A46="","",ROUNDDOWN(ROUND($F45*$C$6/12,4),0))</f>
        <v/>
      </c>
      <c r="F46" s="23">
        <f>IF($A46="","",$F45-$D46)</f>
        <v/>
      </c>
    </row>
    <row r="47" ht="17" customHeight="1">
      <c r="A47" s="18">
        <f>IF(27&lt;=$C$7,27,"")</f>
        <v/>
      </c>
      <c r="B47" s="19">
        <f>IF($A47="","",IF($C$8="","",EDATE($C$8,$A47-1)))</f>
        <v/>
      </c>
      <c r="C47" s="20">
        <f>IF($A47="","",$D47+$E47)</f>
        <v/>
      </c>
      <c r="D47" s="20">
        <f>IF($A47="","",IF($A47=$C$7,$F46,MIN($F46,MAX(0,$C$12-$E47))))</f>
        <v/>
      </c>
      <c r="E47" s="20">
        <f>IF($A47="","",ROUNDDOWN(ROUND($F46*$C$6/12,4),0))</f>
        <v/>
      </c>
      <c r="F47" s="20">
        <f>IF($A47="","",$F46-$D47)</f>
        <v/>
      </c>
    </row>
    <row r="48" ht="17" customHeight="1">
      <c r="A48" s="21">
        <f>IF(28&lt;=$C$7,28,"")</f>
        <v/>
      </c>
      <c r="B48" s="22">
        <f>IF($A48="","",IF($C$8="","",EDATE($C$8,$A48-1)))</f>
        <v/>
      </c>
      <c r="C48" s="23">
        <f>IF($A48="","",$D48+$E48)</f>
        <v/>
      </c>
      <c r="D48" s="23">
        <f>IF($A48="","",IF($A48=$C$7,$F47,MIN($F47,MAX(0,$C$12-$E48))))</f>
        <v/>
      </c>
      <c r="E48" s="23">
        <f>IF($A48="","",ROUNDDOWN(ROUND($F47*$C$6/12,4),0))</f>
        <v/>
      </c>
      <c r="F48" s="23">
        <f>IF($A48="","",$F47-$D48)</f>
        <v/>
      </c>
    </row>
    <row r="49" ht="17" customHeight="1">
      <c r="A49" s="18">
        <f>IF(29&lt;=$C$7,29,"")</f>
        <v/>
      </c>
      <c r="B49" s="19">
        <f>IF($A49="","",IF($C$8="","",EDATE($C$8,$A49-1)))</f>
        <v/>
      </c>
      <c r="C49" s="20">
        <f>IF($A49="","",$D49+$E49)</f>
        <v/>
      </c>
      <c r="D49" s="20">
        <f>IF($A49="","",IF($A49=$C$7,$F48,MIN($F48,MAX(0,$C$12-$E49))))</f>
        <v/>
      </c>
      <c r="E49" s="20">
        <f>IF($A49="","",ROUNDDOWN(ROUND($F48*$C$6/12,4),0))</f>
        <v/>
      </c>
      <c r="F49" s="20">
        <f>IF($A49="","",$F48-$D49)</f>
        <v/>
      </c>
    </row>
    <row r="50" ht="17" customHeight="1">
      <c r="A50" s="21">
        <f>IF(30&lt;=$C$7,30,"")</f>
        <v/>
      </c>
      <c r="B50" s="22">
        <f>IF($A50="","",IF($C$8="","",EDATE($C$8,$A50-1)))</f>
        <v/>
      </c>
      <c r="C50" s="23">
        <f>IF($A50="","",$D50+$E50)</f>
        <v/>
      </c>
      <c r="D50" s="23">
        <f>IF($A50="","",IF($A50=$C$7,$F49,MIN($F49,MAX(0,$C$12-$E50))))</f>
        <v/>
      </c>
      <c r="E50" s="23">
        <f>IF($A50="","",ROUNDDOWN(ROUND($F49*$C$6/12,4),0))</f>
        <v/>
      </c>
      <c r="F50" s="23">
        <f>IF($A50="","",$F49-$D50)</f>
        <v/>
      </c>
    </row>
    <row r="51" ht="17" customHeight="1">
      <c r="A51" s="18">
        <f>IF(31&lt;=$C$7,31,"")</f>
        <v/>
      </c>
      <c r="B51" s="19">
        <f>IF($A51="","",IF($C$8="","",EDATE($C$8,$A51-1)))</f>
        <v/>
      </c>
      <c r="C51" s="20">
        <f>IF($A51="","",$D51+$E51)</f>
        <v/>
      </c>
      <c r="D51" s="20">
        <f>IF($A51="","",IF($A51=$C$7,$F50,MIN($F50,MAX(0,$C$12-$E51))))</f>
        <v/>
      </c>
      <c r="E51" s="20">
        <f>IF($A51="","",ROUNDDOWN(ROUND($F50*$C$6/12,4),0))</f>
        <v/>
      </c>
      <c r="F51" s="20">
        <f>IF($A51="","",$F50-$D51)</f>
        <v/>
      </c>
    </row>
    <row r="52" ht="17" customHeight="1">
      <c r="A52" s="21">
        <f>IF(32&lt;=$C$7,32,"")</f>
        <v/>
      </c>
      <c r="B52" s="22">
        <f>IF($A52="","",IF($C$8="","",EDATE($C$8,$A52-1)))</f>
        <v/>
      </c>
      <c r="C52" s="23">
        <f>IF($A52="","",$D52+$E52)</f>
        <v/>
      </c>
      <c r="D52" s="23">
        <f>IF($A52="","",IF($A52=$C$7,$F51,MIN($F51,MAX(0,$C$12-$E52))))</f>
        <v/>
      </c>
      <c r="E52" s="23">
        <f>IF($A52="","",ROUNDDOWN(ROUND($F51*$C$6/12,4),0))</f>
        <v/>
      </c>
      <c r="F52" s="23">
        <f>IF($A52="","",$F51-$D52)</f>
        <v/>
      </c>
    </row>
    <row r="53" ht="17" customHeight="1">
      <c r="A53" s="18">
        <f>IF(33&lt;=$C$7,33,"")</f>
        <v/>
      </c>
      <c r="B53" s="19">
        <f>IF($A53="","",IF($C$8="","",EDATE($C$8,$A53-1)))</f>
        <v/>
      </c>
      <c r="C53" s="20">
        <f>IF($A53="","",$D53+$E53)</f>
        <v/>
      </c>
      <c r="D53" s="20">
        <f>IF($A53="","",IF($A53=$C$7,$F52,MIN($F52,MAX(0,$C$12-$E53))))</f>
        <v/>
      </c>
      <c r="E53" s="20">
        <f>IF($A53="","",ROUNDDOWN(ROUND($F52*$C$6/12,4),0))</f>
        <v/>
      </c>
      <c r="F53" s="20">
        <f>IF($A53="","",$F52-$D53)</f>
        <v/>
      </c>
    </row>
    <row r="54" ht="17" customHeight="1">
      <c r="A54" s="21">
        <f>IF(34&lt;=$C$7,34,"")</f>
        <v/>
      </c>
      <c r="B54" s="22">
        <f>IF($A54="","",IF($C$8="","",EDATE($C$8,$A54-1)))</f>
        <v/>
      </c>
      <c r="C54" s="23">
        <f>IF($A54="","",$D54+$E54)</f>
        <v/>
      </c>
      <c r="D54" s="23">
        <f>IF($A54="","",IF($A54=$C$7,$F53,MIN($F53,MAX(0,$C$12-$E54))))</f>
        <v/>
      </c>
      <c r="E54" s="23">
        <f>IF($A54="","",ROUNDDOWN(ROUND($F53*$C$6/12,4),0))</f>
        <v/>
      </c>
      <c r="F54" s="23">
        <f>IF($A54="","",$F53-$D54)</f>
        <v/>
      </c>
    </row>
    <row r="55" ht="17" customHeight="1">
      <c r="A55" s="18">
        <f>IF(35&lt;=$C$7,35,"")</f>
        <v/>
      </c>
      <c r="B55" s="19">
        <f>IF($A55="","",IF($C$8="","",EDATE($C$8,$A55-1)))</f>
        <v/>
      </c>
      <c r="C55" s="20">
        <f>IF($A55="","",$D55+$E55)</f>
        <v/>
      </c>
      <c r="D55" s="20">
        <f>IF($A55="","",IF($A55=$C$7,$F54,MIN($F54,MAX(0,$C$12-$E55))))</f>
        <v/>
      </c>
      <c r="E55" s="20">
        <f>IF($A55="","",ROUNDDOWN(ROUND($F54*$C$6/12,4),0))</f>
        <v/>
      </c>
      <c r="F55" s="20">
        <f>IF($A55="","",$F54-$D55)</f>
        <v/>
      </c>
    </row>
    <row r="56" ht="17" customHeight="1">
      <c r="A56" s="21">
        <f>IF(36&lt;=$C$7,36,"")</f>
        <v/>
      </c>
      <c r="B56" s="22">
        <f>IF($A56="","",IF($C$8="","",EDATE($C$8,$A56-1)))</f>
        <v/>
      </c>
      <c r="C56" s="23">
        <f>IF($A56="","",$D56+$E56)</f>
        <v/>
      </c>
      <c r="D56" s="23">
        <f>IF($A56="","",IF($A56=$C$7,$F55,MIN($F55,MAX(0,$C$12-$E56))))</f>
        <v/>
      </c>
      <c r="E56" s="23">
        <f>IF($A56="","",ROUNDDOWN(ROUND($F55*$C$6/12,4),0))</f>
        <v/>
      </c>
      <c r="F56" s="23">
        <f>IF($A56="","",$F55-$D56)</f>
        <v/>
      </c>
    </row>
    <row r="57" ht="17" customHeight="1">
      <c r="A57" s="18">
        <f>IF(37&lt;=$C$7,37,"")</f>
        <v/>
      </c>
      <c r="B57" s="19">
        <f>IF($A57="","",IF($C$8="","",EDATE($C$8,$A57-1)))</f>
        <v/>
      </c>
      <c r="C57" s="20">
        <f>IF($A57="","",$D57+$E57)</f>
        <v/>
      </c>
      <c r="D57" s="20">
        <f>IF($A57="","",IF($A57=$C$7,$F56,MIN($F56,MAX(0,$C$12-$E57))))</f>
        <v/>
      </c>
      <c r="E57" s="20">
        <f>IF($A57="","",ROUNDDOWN(ROUND($F56*$C$6/12,4),0))</f>
        <v/>
      </c>
      <c r="F57" s="20">
        <f>IF($A57="","",$F56-$D57)</f>
        <v/>
      </c>
    </row>
    <row r="58" ht="17" customHeight="1">
      <c r="A58" s="21">
        <f>IF(38&lt;=$C$7,38,"")</f>
        <v/>
      </c>
      <c r="B58" s="22">
        <f>IF($A58="","",IF($C$8="","",EDATE($C$8,$A58-1)))</f>
        <v/>
      </c>
      <c r="C58" s="23">
        <f>IF($A58="","",$D58+$E58)</f>
        <v/>
      </c>
      <c r="D58" s="23">
        <f>IF($A58="","",IF($A58=$C$7,$F57,MIN($F57,MAX(0,$C$12-$E58))))</f>
        <v/>
      </c>
      <c r="E58" s="23">
        <f>IF($A58="","",ROUNDDOWN(ROUND($F57*$C$6/12,4),0))</f>
        <v/>
      </c>
      <c r="F58" s="23">
        <f>IF($A58="","",$F57-$D58)</f>
        <v/>
      </c>
    </row>
    <row r="59" ht="17" customHeight="1">
      <c r="A59" s="18">
        <f>IF(39&lt;=$C$7,39,"")</f>
        <v/>
      </c>
      <c r="B59" s="19">
        <f>IF($A59="","",IF($C$8="","",EDATE($C$8,$A59-1)))</f>
        <v/>
      </c>
      <c r="C59" s="20">
        <f>IF($A59="","",$D59+$E59)</f>
        <v/>
      </c>
      <c r="D59" s="20">
        <f>IF($A59="","",IF($A59=$C$7,$F58,MIN($F58,MAX(0,$C$12-$E59))))</f>
        <v/>
      </c>
      <c r="E59" s="20">
        <f>IF($A59="","",ROUNDDOWN(ROUND($F58*$C$6/12,4),0))</f>
        <v/>
      </c>
      <c r="F59" s="20">
        <f>IF($A59="","",$F58-$D59)</f>
        <v/>
      </c>
    </row>
    <row r="60" ht="17" customHeight="1">
      <c r="A60" s="21">
        <f>IF(40&lt;=$C$7,40,"")</f>
        <v/>
      </c>
      <c r="B60" s="22">
        <f>IF($A60="","",IF($C$8="","",EDATE($C$8,$A60-1)))</f>
        <v/>
      </c>
      <c r="C60" s="23">
        <f>IF($A60="","",$D60+$E60)</f>
        <v/>
      </c>
      <c r="D60" s="23">
        <f>IF($A60="","",IF($A60=$C$7,$F59,MIN($F59,MAX(0,$C$12-$E60))))</f>
        <v/>
      </c>
      <c r="E60" s="23">
        <f>IF($A60="","",ROUNDDOWN(ROUND($F59*$C$6/12,4),0))</f>
        <v/>
      </c>
      <c r="F60" s="23">
        <f>IF($A60="","",$F59-$D60)</f>
        <v/>
      </c>
    </row>
    <row r="61" ht="17" customHeight="1">
      <c r="A61" s="18">
        <f>IF(41&lt;=$C$7,41,"")</f>
        <v/>
      </c>
      <c r="B61" s="19">
        <f>IF($A61="","",IF($C$8="","",EDATE($C$8,$A61-1)))</f>
        <v/>
      </c>
      <c r="C61" s="20">
        <f>IF($A61="","",$D61+$E61)</f>
        <v/>
      </c>
      <c r="D61" s="20">
        <f>IF($A61="","",IF($A61=$C$7,$F60,MIN($F60,MAX(0,$C$12-$E61))))</f>
        <v/>
      </c>
      <c r="E61" s="20">
        <f>IF($A61="","",ROUNDDOWN(ROUND($F60*$C$6/12,4),0))</f>
        <v/>
      </c>
      <c r="F61" s="20">
        <f>IF($A61="","",$F60-$D61)</f>
        <v/>
      </c>
    </row>
    <row r="62" ht="17" customHeight="1">
      <c r="A62" s="21">
        <f>IF(42&lt;=$C$7,42,"")</f>
        <v/>
      </c>
      <c r="B62" s="22">
        <f>IF($A62="","",IF($C$8="","",EDATE($C$8,$A62-1)))</f>
        <v/>
      </c>
      <c r="C62" s="23">
        <f>IF($A62="","",$D62+$E62)</f>
        <v/>
      </c>
      <c r="D62" s="23">
        <f>IF($A62="","",IF($A62=$C$7,$F61,MIN($F61,MAX(0,$C$12-$E62))))</f>
        <v/>
      </c>
      <c r="E62" s="23">
        <f>IF($A62="","",ROUNDDOWN(ROUND($F61*$C$6/12,4),0))</f>
        <v/>
      </c>
      <c r="F62" s="23">
        <f>IF($A62="","",$F61-$D62)</f>
        <v/>
      </c>
    </row>
    <row r="63" ht="17" customHeight="1">
      <c r="A63" s="18">
        <f>IF(43&lt;=$C$7,43,"")</f>
        <v/>
      </c>
      <c r="B63" s="19">
        <f>IF($A63="","",IF($C$8="","",EDATE($C$8,$A63-1)))</f>
        <v/>
      </c>
      <c r="C63" s="20">
        <f>IF($A63="","",$D63+$E63)</f>
        <v/>
      </c>
      <c r="D63" s="20">
        <f>IF($A63="","",IF($A63=$C$7,$F62,MIN($F62,MAX(0,$C$12-$E63))))</f>
        <v/>
      </c>
      <c r="E63" s="20">
        <f>IF($A63="","",ROUNDDOWN(ROUND($F62*$C$6/12,4),0))</f>
        <v/>
      </c>
      <c r="F63" s="20">
        <f>IF($A63="","",$F62-$D63)</f>
        <v/>
      </c>
    </row>
    <row r="64" ht="17" customHeight="1">
      <c r="A64" s="21">
        <f>IF(44&lt;=$C$7,44,"")</f>
        <v/>
      </c>
      <c r="B64" s="22">
        <f>IF($A64="","",IF($C$8="","",EDATE($C$8,$A64-1)))</f>
        <v/>
      </c>
      <c r="C64" s="23">
        <f>IF($A64="","",$D64+$E64)</f>
        <v/>
      </c>
      <c r="D64" s="23">
        <f>IF($A64="","",IF($A64=$C$7,$F63,MIN($F63,MAX(0,$C$12-$E64))))</f>
        <v/>
      </c>
      <c r="E64" s="23">
        <f>IF($A64="","",ROUNDDOWN(ROUND($F63*$C$6/12,4),0))</f>
        <v/>
      </c>
      <c r="F64" s="23">
        <f>IF($A64="","",$F63-$D64)</f>
        <v/>
      </c>
    </row>
    <row r="65" ht="17" customHeight="1">
      <c r="A65" s="18">
        <f>IF(45&lt;=$C$7,45,"")</f>
        <v/>
      </c>
      <c r="B65" s="19">
        <f>IF($A65="","",IF($C$8="","",EDATE($C$8,$A65-1)))</f>
        <v/>
      </c>
      <c r="C65" s="20">
        <f>IF($A65="","",$D65+$E65)</f>
        <v/>
      </c>
      <c r="D65" s="20">
        <f>IF($A65="","",IF($A65=$C$7,$F64,MIN($F64,MAX(0,$C$12-$E65))))</f>
        <v/>
      </c>
      <c r="E65" s="20">
        <f>IF($A65="","",ROUNDDOWN(ROUND($F64*$C$6/12,4),0))</f>
        <v/>
      </c>
      <c r="F65" s="20">
        <f>IF($A65="","",$F64-$D65)</f>
        <v/>
      </c>
    </row>
    <row r="66" ht="17" customHeight="1">
      <c r="A66" s="21">
        <f>IF(46&lt;=$C$7,46,"")</f>
        <v/>
      </c>
      <c r="B66" s="22">
        <f>IF($A66="","",IF($C$8="","",EDATE($C$8,$A66-1)))</f>
        <v/>
      </c>
      <c r="C66" s="23">
        <f>IF($A66="","",$D66+$E66)</f>
        <v/>
      </c>
      <c r="D66" s="23">
        <f>IF($A66="","",IF($A66=$C$7,$F65,MIN($F65,MAX(0,$C$12-$E66))))</f>
        <v/>
      </c>
      <c r="E66" s="23">
        <f>IF($A66="","",ROUNDDOWN(ROUND($F65*$C$6/12,4),0))</f>
        <v/>
      </c>
      <c r="F66" s="23">
        <f>IF($A66="","",$F65-$D66)</f>
        <v/>
      </c>
    </row>
    <row r="67" ht="17" customHeight="1">
      <c r="A67" s="18">
        <f>IF(47&lt;=$C$7,47,"")</f>
        <v/>
      </c>
      <c r="B67" s="19">
        <f>IF($A67="","",IF($C$8="","",EDATE($C$8,$A67-1)))</f>
        <v/>
      </c>
      <c r="C67" s="20">
        <f>IF($A67="","",$D67+$E67)</f>
        <v/>
      </c>
      <c r="D67" s="20">
        <f>IF($A67="","",IF($A67=$C$7,$F66,MIN($F66,MAX(0,$C$12-$E67))))</f>
        <v/>
      </c>
      <c r="E67" s="20">
        <f>IF($A67="","",ROUNDDOWN(ROUND($F66*$C$6/12,4),0))</f>
        <v/>
      </c>
      <c r="F67" s="20">
        <f>IF($A67="","",$F66-$D67)</f>
        <v/>
      </c>
    </row>
    <row r="68" ht="17" customHeight="1">
      <c r="A68" s="21">
        <f>IF(48&lt;=$C$7,48,"")</f>
        <v/>
      </c>
      <c r="B68" s="22">
        <f>IF($A68="","",IF($C$8="","",EDATE($C$8,$A68-1)))</f>
        <v/>
      </c>
      <c r="C68" s="23">
        <f>IF($A68="","",$D68+$E68)</f>
        <v/>
      </c>
      <c r="D68" s="23">
        <f>IF($A68="","",IF($A68=$C$7,$F67,MIN($F67,MAX(0,$C$12-$E68))))</f>
        <v/>
      </c>
      <c r="E68" s="23">
        <f>IF($A68="","",ROUNDDOWN(ROUND($F67*$C$6/12,4),0))</f>
        <v/>
      </c>
      <c r="F68" s="23">
        <f>IF($A68="","",$F67-$D68)</f>
        <v/>
      </c>
    </row>
    <row r="69" ht="17" customHeight="1">
      <c r="A69" s="18">
        <f>IF(49&lt;=$C$7,49,"")</f>
        <v/>
      </c>
      <c r="B69" s="19">
        <f>IF($A69="","",IF($C$8="","",EDATE($C$8,$A69-1)))</f>
        <v/>
      </c>
      <c r="C69" s="20">
        <f>IF($A69="","",$D69+$E69)</f>
        <v/>
      </c>
      <c r="D69" s="20">
        <f>IF($A69="","",IF($A69=$C$7,$F68,MIN($F68,MAX(0,$C$12-$E69))))</f>
        <v/>
      </c>
      <c r="E69" s="20">
        <f>IF($A69="","",ROUNDDOWN(ROUND($F68*$C$6/12,4),0))</f>
        <v/>
      </c>
      <c r="F69" s="20">
        <f>IF($A69="","",$F68-$D69)</f>
        <v/>
      </c>
    </row>
    <row r="70" ht="17" customHeight="1">
      <c r="A70" s="21">
        <f>IF(50&lt;=$C$7,50,"")</f>
        <v/>
      </c>
      <c r="B70" s="22">
        <f>IF($A70="","",IF($C$8="","",EDATE($C$8,$A70-1)))</f>
        <v/>
      </c>
      <c r="C70" s="23">
        <f>IF($A70="","",$D70+$E70)</f>
        <v/>
      </c>
      <c r="D70" s="23">
        <f>IF($A70="","",IF($A70=$C$7,$F69,MIN($F69,MAX(0,$C$12-$E70))))</f>
        <v/>
      </c>
      <c r="E70" s="23">
        <f>IF($A70="","",ROUNDDOWN(ROUND($F69*$C$6/12,4),0))</f>
        <v/>
      </c>
      <c r="F70" s="23">
        <f>IF($A70="","",$F69-$D70)</f>
        <v/>
      </c>
    </row>
    <row r="71" ht="17" customHeight="1">
      <c r="A71" s="18">
        <f>IF(51&lt;=$C$7,51,"")</f>
        <v/>
      </c>
      <c r="B71" s="19">
        <f>IF($A71="","",IF($C$8="","",EDATE($C$8,$A71-1)))</f>
        <v/>
      </c>
      <c r="C71" s="20">
        <f>IF($A71="","",$D71+$E71)</f>
        <v/>
      </c>
      <c r="D71" s="20">
        <f>IF($A71="","",IF($A71=$C$7,$F70,MIN($F70,MAX(0,$C$12-$E71))))</f>
        <v/>
      </c>
      <c r="E71" s="20">
        <f>IF($A71="","",ROUNDDOWN(ROUND($F70*$C$6/12,4),0))</f>
        <v/>
      </c>
      <c r="F71" s="20">
        <f>IF($A71="","",$F70-$D71)</f>
        <v/>
      </c>
    </row>
    <row r="72" ht="17" customHeight="1">
      <c r="A72" s="21">
        <f>IF(52&lt;=$C$7,52,"")</f>
        <v/>
      </c>
      <c r="B72" s="22">
        <f>IF($A72="","",IF($C$8="","",EDATE($C$8,$A72-1)))</f>
        <v/>
      </c>
      <c r="C72" s="23">
        <f>IF($A72="","",$D72+$E72)</f>
        <v/>
      </c>
      <c r="D72" s="23">
        <f>IF($A72="","",IF($A72=$C$7,$F71,MIN($F71,MAX(0,$C$12-$E72))))</f>
        <v/>
      </c>
      <c r="E72" s="23">
        <f>IF($A72="","",ROUNDDOWN(ROUND($F71*$C$6/12,4),0))</f>
        <v/>
      </c>
      <c r="F72" s="23">
        <f>IF($A72="","",$F71-$D72)</f>
        <v/>
      </c>
    </row>
    <row r="73" ht="17" customHeight="1">
      <c r="A73" s="18">
        <f>IF(53&lt;=$C$7,53,"")</f>
        <v/>
      </c>
      <c r="B73" s="19">
        <f>IF($A73="","",IF($C$8="","",EDATE($C$8,$A73-1)))</f>
        <v/>
      </c>
      <c r="C73" s="20">
        <f>IF($A73="","",$D73+$E73)</f>
        <v/>
      </c>
      <c r="D73" s="20">
        <f>IF($A73="","",IF($A73=$C$7,$F72,MIN($F72,MAX(0,$C$12-$E73))))</f>
        <v/>
      </c>
      <c r="E73" s="20">
        <f>IF($A73="","",ROUNDDOWN(ROUND($F72*$C$6/12,4),0))</f>
        <v/>
      </c>
      <c r="F73" s="20">
        <f>IF($A73="","",$F72-$D73)</f>
        <v/>
      </c>
    </row>
    <row r="74" ht="17" customHeight="1">
      <c r="A74" s="21">
        <f>IF(54&lt;=$C$7,54,"")</f>
        <v/>
      </c>
      <c r="B74" s="22">
        <f>IF($A74="","",IF($C$8="","",EDATE($C$8,$A74-1)))</f>
        <v/>
      </c>
      <c r="C74" s="23">
        <f>IF($A74="","",$D74+$E74)</f>
        <v/>
      </c>
      <c r="D74" s="23">
        <f>IF($A74="","",IF($A74=$C$7,$F73,MIN($F73,MAX(0,$C$12-$E74))))</f>
        <v/>
      </c>
      <c r="E74" s="23">
        <f>IF($A74="","",ROUNDDOWN(ROUND($F73*$C$6/12,4),0))</f>
        <v/>
      </c>
      <c r="F74" s="23">
        <f>IF($A74="","",$F73-$D74)</f>
        <v/>
      </c>
    </row>
    <row r="75" ht="17" customHeight="1">
      <c r="A75" s="18">
        <f>IF(55&lt;=$C$7,55,"")</f>
        <v/>
      </c>
      <c r="B75" s="19">
        <f>IF($A75="","",IF($C$8="","",EDATE($C$8,$A75-1)))</f>
        <v/>
      </c>
      <c r="C75" s="20">
        <f>IF($A75="","",$D75+$E75)</f>
        <v/>
      </c>
      <c r="D75" s="20">
        <f>IF($A75="","",IF($A75=$C$7,$F74,MIN($F74,MAX(0,$C$12-$E75))))</f>
        <v/>
      </c>
      <c r="E75" s="20">
        <f>IF($A75="","",ROUNDDOWN(ROUND($F74*$C$6/12,4),0))</f>
        <v/>
      </c>
      <c r="F75" s="20">
        <f>IF($A75="","",$F74-$D75)</f>
        <v/>
      </c>
    </row>
    <row r="76" ht="17" customHeight="1">
      <c r="A76" s="21">
        <f>IF(56&lt;=$C$7,56,"")</f>
        <v/>
      </c>
      <c r="B76" s="22">
        <f>IF($A76="","",IF($C$8="","",EDATE($C$8,$A76-1)))</f>
        <v/>
      </c>
      <c r="C76" s="23">
        <f>IF($A76="","",$D76+$E76)</f>
        <v/>
      </c>
      <c r="D76" s="23">
        <f>IF($A76="","",IF($A76=$C$7,$F75,MIN($F75,MAX(0,$C$12-$E76))))</f>
        <v/>
      </c>
      <c r="E76" s="23">
        <f>IF($A76="","",ROUNDDOWN(ROUND($F75*$C$6/12,4),0))</f>
        <v/>
      </c>
      <c r="F76" s="23">
        <f>IF($A76="","",$F75-$D76)</f>
        <v/>
      </c>
    </row>
    <row r="77" ht="17" customHeight="1">
      <c r="A77" s="18">
        <f>IF(57&lt;=$C$7,57,"")</f>
        <v/>
      </c>
      <c r="B77" s="19">
        <f>IF($A77="","",IF($C$8="","",EDATE($C$8,$A77-1)))</f>
        <v/>
      </c>
      <c r="C77" s="20">
        <f>IF($A77="","",$D77+$E77)</f>
        <v/>
      </c>
      <c r="D77" s="20">
        <f>IF($A77="","",IF($A77=$C$7,$F76,MIN($F76,MAX(0,$C$12-$E77))))</f>
        <v/>
      </c>
      <c r="E77" s="20">
        <f>IF($A77="","",ROUNDDOWN(ROUND($F76*$C$6/12,4),0))</f>
        <v/>
      </c>
      <c r="F77" s="20">
        <f>IF($A77="","",$F76-$D77)</f>
        <v/>
      </c>
    </row>
    <row r="78" ht="17" customHeight="1">
      <c r="A78" s="21">
        <f>IF(58&lt;=$C$7,58,"")</f>
        <v/>
      </c>
      <c r="B78" s="22">
        <f>IF($A78="","",IF($C$8="","",EDATE($C$8,$A78-1)))</f>
        <v/>
      </c>
      <c r="C78" s="23">
        <f>IF($A78="","",$D78+$E78)</f>
        <v/>
      </c>
      <c r="D78" s="23">
        <f>IF($A78="","",IF($A78=$C$7,$F77,MIN($F77,MAX(0,$C$12-$E78))))</f>
        <v/>
      </c>
      <c r="E78" s="23">
        <f>IF($A78="","",ROUNDDOWN(ROUND($F77*$C$6/12,4),0))</f>
        <v/>
      </c>
      <c r="F78" s="23">
        <f>IF($A78="","",$F77-$D78)</f>
        <v/>
      </c>
    </row>
    <row r="79" ht="17" customHeight="1">
      <c r="A79" s="18">
        <f>IF(59&lt;=$C$7,59,"")</f>
        <v/>
      </c>
      <c r="B79" s="19">
        <f>IF($A79="","",IF($C$8="","",EDATE($C$8,$A79-1)))</f>
        <v/>
      </c>
      <c r="C79" s="20">
        <f>IF($A79="","",$D79+$E79)</f>
        <v/>
      </c>
      <c r="D79" s="20">
        <f>IF($A79="","",IF($A79=$C$7,$F78,MIN($F78,MAX(0,$C$12-$E79))))</f>
        <v/>
      </c>
      <c r="E79" s="20">
        <f>IF($A79="","",ROUNDDOWN(ROUND($F78*$C$6/12,4),0))</f>
        <v/>
      </c>
      <c r="F79" s="20">
        <f>IF($A79="","",$F78-$D79)</f>
        <v/>
      </c>
    </row>
    <row r="80" ht="17" customHeight="1">
      <c r="A80" s="21">
        <f>IF(60&lt;=$C$7,60,"")</f>
        <v/>
      </c>
      <c r="B80" s="22">
        <f>IF($A80="","",IF($C$8="","",EDATE($C$8,$A80-1)))</f>
        <v/>
      </c>
      <c r="C80" s="23">
        <f>IF($A80="","",$D80+$E80)</f>
        <v/>
      </c>
      <c r="D80" s="23">
        <f>IF($A80="","",IF($A80=$C$7,$F79,MIN($F79,MAX(0,$C$12-$E80))))</f>
        <v/>
      </c>
      <c r="E80" s="23">
        <f>IF($A80="","",ROUNDDOWN(ROUND($F79*$C$6/12,4),0))</f>
        <v/>
      </c>
      <c r="F80" s="23">
        <f>IF($A80="","",$F79-$D80)</f>
        <v/>
      </c>
    </row>
    <row r="81" ht="17" customHeight="1">
      <c r="A81" s="18">
        <f>IF(61&lt;=$C$7,61,"")</f>
        <v/>
      </c>
      <c r="B81" s="19">
        <f>IF($A81="","",IF($C$8="","",EDATE($C$8,$A81-1)))</f>
        <v/>
      </c>
      <c r="C81" s="20">
        <f>IF($A81="","",$D81+$E81)</f>
        <v/>
      </c>
      <c r="D81" s="20">
        <f>IF($A81="","",IF($A81=$C$7,$F80,MIN($F80,MAX(0,$C$12-$E81))))</f>
        <v/>
      </c>
      <c r="E81" s="20">
        <f>IF($A81="","",ROUNDDOWN(ROUND($F80*$C$6/12,4),0))</f>
        <v/>
      </c>
      <c r="F81" s="20">
        <f>IF($A81="","",$F80-$D81)</f>
        <v/>
      </c>
    </row>
    <row r="82" ht="17" customHeight="1">
      <c r="A82" s="21">
        <f>IF(62&lt;=$C$7,62,"")</f>
        <v/>
      </c>
      <c r="B82" s="22">
        <f>IF($A82="","",IF($C$8="","",EDATE($C$8,$A82-1)))</f>
        <v/>
      </c>
      <c r="C82" s="23">
        <f>IF($A82="","",$D82+$E82)</f>
        <v/>
      </c>
      <c r="D82" s="23">
        <f>IF($A82="","",IF($A82=$C$7,$F81,MIN($F81,MAX(0,$C$12-$E82))))</f>
        <v/>
      </c>
      <c r="E82" s="23">
        <f>IF($A82="","",ROUNDDOWN(ROUND($F81*$C$6/12,4),0))</f>
        <v/>
      </c>
      <c r="F82" s="23">
        <f>IF($A82="","",$F81-$D82)</f>
        <v/>
      </c>
    </row>
    <row r="83" ht="17" customHeight="1">
      <c r="A83" s="18">
        <f>IF(63&lt;=$C$7,63,"")</f>
        <v/>
      </c>
      <c r="B83" s="19">
        <f>IF($A83="","",IF($C$8="","",EDATE($C$8,$A83-1)))</f>
        <v/>
      </c>
      <c r="C83" s="20">
        <f>IF($A83="","",$D83+$E83)</f>
        <v/>
      </c>
      <c r="D83" s="20">
        <f>IF($A83="","",IF($A83=$C$7,$F82,MIN($F82,MAX(0,$C$12-$E83))))</f>
        <v/>
      </c>
      <c r="E83" s="20">
        <f>IF($A83="","",ROUNDDOWN(ROUND($F82*$C$6/12,4),0))</f>
        <v/>
      </c>
      <c r="F83" s="20">
        <f>IF($A83="","",$F82-$D83)</f>
        <v/>
      </c>
    </row>
    <row r="84" ht="17" customHeight="1">
      <c r="A84" s="21">
        <f>IF(64&lt;=$C$7,64,"")</f>
        <v/>
      </c>
      <c r="B84" s="22">
        <f>IF($A84="","",IF($C$8="","",EDATE($C$8,$A84-1)))</f>
        <v/>
      </c>
      <c r="C84" s="23">
        <f>IF($A84="","",$D84+$E84)</f>
        <v/>
      </c>
      <c r="D84" s="23">
        <f>IF($A84="","",IF($A84=$C$7,$F83,MIN($F83,MAX(0,$C$12-$E84))))</f>
        <v/>
      </c>
      <c r="E84" s="23">
        <f>IF($A84="","",ROUNDDOWN(ROUND($F83*$C$6/12,4),0))</f>
        <v/>
      </c>
      <c r="F84" s="23">
        <f>IF($A84="","",$F83-$D84)</f>
        <v/>
      </c>
    </row>
    <row r="85" ht="17" customHeight="1">
      <c r="A85" s="18">
        <f>IF(65&lt;=$C$7,65,"")</f>
        <v/>
      </c>
      <c r="B85" s="19">
        <f>IF($A85="","",IF($C$8="","",EDATE($C$8,$A85-1)))</f>
        <v/>
      </c>
      <c r="C85" s="20">
        <f>IF($A85="","",$D85+$E85)</f>
        <v/>
      </c>
      <c r="D85" s="20">
        <f>IF($A85="","",IF($A85=$C$7,$F84,MIN($F84,MAX(0,$C$12-$E85))))</f>
        <v/>
      </c>
      <c r="E85" s="20">
        <f>IF($A85="","",ROUNDDOWN(ROUND($F84*$C$6/12,4),0))</f>
        <v/>
      </c>
      <c r="F85" s="20">
        <f>IF($A85="","",$F84-$D85)</f>
        <v/>
      </c>
    </row>
    <row r="86" ht="17" customHeight="1">
      <c r="A86" s="21">
        <f>IF(66&lt;=$C$7,66,"")</f>
        <v/>
      </c>
      <c r="B86" s="22">
        <f>IF($A86="","",IF($C$8="","",EDATE($C$8,$A86-1)))</f>
        <v/>
      </c>
      <c r="C86" s="23">
        <f>IF($A86="","",$D86+$E86)</f>
        <v/>
      </c>
      <c r="D86" s="23">
        <f>IF($A86="","",IF($A86=$C$7,$F85,MIN($F85,MAX(0,$C$12-$E86))))</f>
        <v/>
      </c>
      <c r="E86" s="23">
        <f>IF($A86="","",ROUNDDOWN(ROUND($F85*$C$6/12,4),0))</f>
        <v/>
      </c>
      <c r="F86" s="23">
        <f>IF($A86="","",$F85-$D86)</f>
        <v/>
      </c>
    </row>
    <row r="87" ht="17" customHeight="1">
      <c r="A87" s="18">
        <f>IF(67&lt;=$C$7,67,"")</f>
        <v/>
      </c>
      <c r="B87" s="19">
        <f>IF($A87="","",IF($C$8="","",EDATE($C$8,$A87-1)))</f>
        <v/>
      </c>
      <c r="C87" s="20">
        <f>IF($A87="","",$D87+$E87)</f>
        <v/>
      </c>
      <c r="D87" s="20">
        <f>IF($A87="","",IF($A87=$C$7,$F86,MIN($F86,MAX(0,$C$12-$E87))))</f>
        <v/>
      </c>
      <c r="E87" s="20">
        <f>IF($A87="","",ROUNDDOWN(ROUND($F86*$C$6/12,4),0))</f>
        <v/>
      </c>
      <c r="F87" s="20">
        <f>IF($A87="","",$F86-$D87)</f>
        <v/>
      </c>
    </row>
    <row r="88" ht="17" customHeight="1">
      <c r="A88" s="21">
        <f>IF(68&lt;=$C$7,68,"")</f>
        <v/>
      </c>
      <c r="B88" s="22">
        <f>IF($A88="","",IF($C$8="","",EDATE($C$8,$A88-1)))</f>
        <v/>
      </c>
      <c r="C88" s="23">
        <f>IF($A88="","",$D88+$E88)</f>
        <v/>
      </c>
      <c r="D88" s="23">
        <f>IF($A88="","",IF($A88=$C$7,$F87,MIN($F87,MAX(0,$C$12-$E88))))</f>
        <v/>
      </c>
      <c r="E88" s="23">
        <f>IF($A88="","",ROUNDDOWN(ROUND($F87*$C$6/12,4),0))</f>
        <v/>
      </c>
      <c r="F88" s="23">
        <f>IF($A88="","",$F87-$D88)</f>
        <v/>
      </c>
    </row>
    <row r="89" ht="17" customHeight="1">
      <c r="A89" s="18">
        <f>IF(69&lt;=$C$7,69,"")</f>
        <v/>
      </c>
      <c r="B89" s="19">
        <f>IF($A89="","",IF($C$8="","",EDATE($C$8,$A89-1)))</f>
        <v/>
      </c>
      <c r="C89" s="20">
        <f>IF($A89="","",$D89+$E89)</f>
        <v/>
      </c>
      <c r="D89" s="20">
        <f>IF($A89="","",IF($A89=$C$7,$F88,MIN($F88,MAX(0,$C$12-$E89))))</f>
        <v/>
      </c>
      <c r="E89" s="20">
        <f>IF($A89="","",ROUNDDOWN(ROUND($F88*$C$6/12,4),0))</f>
        <v/>
      </c>
      <c r="F89" s="20">
        <f>IF($A89="","",$F88-$D89)</f>
        <v/>
      </c>
    </row>
    <row r="90" ht="17" customHeight="1">
      <c r="A90" s="21">
        <f>IF(70&lt;=$C$7,70,"")</f>
        <v/>
      </c>
      <c r="B90" s="22">
        <f>IF($A90="","",IF($C$8="","",EDATE($C$8,$A90-1)))</f>
        <v/>
      </c>
      <c r="C90" s="23">
        <f>IF($A90="","",$D90+$E90)</f>
        <v/>
      </c>
      <c r="D90" s="23">
        <f>IF($A90="","",IF($A90=$C$7,$F89,MIN($F89,MAX(0,$C$12-$E90))))</f>
        <v/>
      </c>
      <c r="E90" s="23">
        <f>IF($A90="","",ROUNDDOWN(ROUND($F89*$C$6/12,4),0))</f>
        <v/>
      </c>
      <c r="F90" s="23">
        <f>IF($A90="","",$F89-$D90)</f>
        <v/>
      </c>
    </row>
    <row r="91" ht="17" customHeight="1">
      <c r="A91" s="18">
        <f>IF(71&lt;=$C$7,71,"")</f>
        <v/>
      </c>
      <c r="B91" s="19">
        <f>IF($A91="","",IF($C$8="","",EDATE($C$8,$A91-1)))</f>
        <v/>
      </c>
      <c r="C91" s="20">
        <f>IF($A91="","",$D91+$E91)</f>
        <v/>
      </c>
      <c r="D91" s="20">
        <f>IF($A91="","",IF($A91=$C$7,$F90,MIN($F90,MAX(0,$C$12-$E91))))</f>
        <v/>
      </c>
      <c r="E91" s="20">
        <f>IF($A91="","",ROUNDDOWN(ROUND($F90*$C$6/12,4),0))</f>
        <v/>
      </c>
      <c r="F91" s="20">
        <f>IF($A91="","",$F90-$D91)</f>
        <v/>
      </c>
    </row>
    <row r="92" ht="17" customHeight="1">
      <c r="A92" s="21">
        <f>IF(72&lt;=$C$7,72,"")</f>
        <v/>
      </c>
      <c r="B92" s="22">
        <f>IF($A92="","",IF($C$8="","",EDATE($C$8,$A92-1)))</f>
        <v/>
      </c>
      <c r="C92" s="23">
        <f>IF($A92="","",$D92+$E92)</f>
        <v/>
      </c>
      <c r="D92" s="23">
        <f>IF($A92="","",IF($A92=$C$7,$F91,MIN($F91,MAX(0,$C$12-$E92))))</f>
        <v/>
      </c>
      <c r="E92" s="23">
        <f>IF($A92="","",ROUNDDOWN(ROUND($F91*$C$6/12,4),0))</f>
        <v/>
      </c>
      <c r="F92" s="23">
        <f>IF($A92="","",$F91-$D92)</f>
        <v/>
      </c>
    </row>
    <row r="93" ht="17" customHeight="1">
      <c r="A93" s="18">
        <f>IF(73&lt;=$C$7,73,"")</f>
        <v/>
      </c>
      <c r="B93" s="19">
        <f>IF($A93="","",IF($C$8="","",EDATE($C$8,$A93-1)))</f>
        <v/>
      </c>
      <c r="C93" s="20">
        <f>IF($A93="","",$D93+$E93)</f>
        <v/>
      </c>
      <c r="D93" s="20">
        <f>IF($A93="","",IF($A93=$C$7,$F92,MIN($F92,MAX(0,$C$12-$E93))))</f>
        <v/>
      </c>
      <c r="E93" s="20">
        <f>IF($A93="","",ROUNDDOWN(ROUND($F92*$C$6/12,4),0))</f>
        <v/>
      </c>
      <c r="F93" s="20">
        <f>IF($A93="","",$F92-$D93)</f>
        <v/>
      </c>
    </row>
    <row r="94" ht="17" customHeight="1">
      <c r="A94" s="21">
        <f>IF(74&lt;=$C$7,74,"")</f>
        <v/>
      </c>
      <c r="B94" s="22">
        <f>IF($A94="","",IF($C$8="","",EDATE($C$8,$A94-1)))</f>
        <v/>
      </c>
      <c r="C94" s="23">
        <f>IF($A94="","",$D94+$E94)</f>
        <v/>
      </c>
      <c r="D94" s="23">
        <f>IF($A94="","",IF($A94=$C$7,$F93,MIN($F93,MAX(0,$C$12-$E94))))</f>
        <v/>
      </c>
      <c r="E94" s="23">
        <f>IF($A94="","",ROUNDDOWN(ROUND($F93*$C$6/12,4),0))</f>
        <v/>
      </c>
      <c r="F94" s="23">
        <f>IF($A94="","",$F93-$D94)</f>
        <v/>
      </c>
    </row>
    <row r="95" ht="17" customHeight="1">
      <c r="A95" s="18">
        <f>IF(75&lt;=$C$7,75,"")</f>
        <v/>
      </c>
      <c r="B95" s="19">
        <f>IF($A95="","",IF($C$8="","",EDATE($C$8,$A95-1)))</f>
        <v/>
      </c>
      <c r="C95" s="20">
        <f>IF($A95="","",$D95+$E95)</f>
        <v/>
      </c>
      <c r="D95" s="20">
        <f>IF($A95="","",IF($A95=$C$7,$F94,MIN($F94,MAX(0,$C$12-$E95))))</f>
        <v/>
      </c>
      <c r="E95" s="20">
        <f>IF($A95="","",ROUNDDOWN(ROUND($F94*$C$6/12,4),0))</f>
        <v/>
      </c>
      <c r="F95" s="20">
        <f>IF($A95="","",$F94-$D95)</f>
        <v/>
      </c>
    </row>
    <row r="96" ht="17" customHeight="1">
      <c r="A96" s="21">
        <f>IF(76&lt;=$C$7,76,"")</f>
        <v/>
      </c>
      <c r="B96" s="22">
        <f>IF($A96="","",IF($C$8="","",EDATE($C$8,$A96-1)))</f>
        <v/>
      </c>
      <c r="C96" s="23">
        <f>IF($A96="","",$D96+$E96)</f>
        <v/>
      </c>
      <c r="D96" s="23">
        <f>IF($A96="","",IF($A96=$C$7,$F95,MIN($F95,MAX(0,$C$12-$E96))))</f>
        <v/>
      </c>
      <c r="E96" s="23">
        <f>IF($A96="","",ROUNDDOWN(ROUND($F95*$C$6/12,4),0))</f>
        <v/>
      </c>
      <c r="F96" s="23">
        <f>IF($A96="","",$F95-$D96)</f>
        <v/>
      </c>
    </row>
    <row r="97" ht="17" customHeight="1">
      <c r="A97" s="18">
        <f>IF(77&lt;=$C$7,77,"")</f>
        <v/>
      </c>
      <c r="B97" s="19">
        <f>IF($A97="","",IF($C$8="","",EDATE($C$8,$A97-1)))</f>
        <v/>
      </c>
      <c r="C97" s="20">
        <f>IF($A97="","",$D97+$E97)</f>
        <v/>
      </c>
      <c r="D97" s="20">
        <f>IF($A97="","",IF($A97=$C$7,$F96,MIN($F96,MAX(0,$C$12-$E97))))</f>
        <v/>
      </c>
      <c r="E97" s="20">
        <f>IF($A97="","",ROUNDDOWN(ROUND($F96*$C$6/12,4),0))</f>
        <v/>
      </c>
      <c r="F97" s="20">
        <f>IF($A97="","",$F96-$D97)</f>
        <v/>
      </c>
    </row>
    <row r="98" ht="17" customHeight="1">
      <c r="A98" s="21">
        <f>IF(78&lt;=$C$7,78,"")</f>
        <v/>
      </c>
      <c r="B98" s="22">
        <f>IF($A98="","",IF($C$8="","",EDATE($C$8,$A98-1)))</f>
        <v/>
      </c>
      <c r="C98" s="23">
        <f>IF($A98="","",$D98+$E98)</f>
        <v/>
      </c>
      <c r="D98" s="23">
        <f>IF($A98="","",IF($A98=$C$7,$F97,MIN($F97,MAX(0,$C$12-$E98))))</f>
        <v/>
      </c>
      <c r="E98" s="23">
        <f>IF($A98="","",ROUNDDOWN(ROUND($F97*$C$6/12,4),0))</f>
        <v/>
      </c>
      <c r="F98" s="23">
        <f>IF($A98="","",$F97-$D98)</f>
        <v/>
      </c>
    </row>
    <row r="99" ht="17" customHeight="1">
      <c r="A99" s="18">
        <f>IF(79&lt;=$C$7,79,"")</f>
        <v/>
      </c>
      <c r="B99" s="19">
        <f>IF($A99="","",IF($C$8="","",EDATE($C$8,$A99-1)))</f>
        <v/>
      </c>
      <c r="C99" s="20">
        <f>IF($A99="","",$D99+$E99)</f>
        <v/>
      </c>
      <c r="D99" s="20">
        <f>IF($A99="","",IF($A99=$C$7,$F98,MIN($F98,MAX(0,$C$12-$E99))))</f>
        <v/>
      </c>
      <c r="E99" s="20">
        <f>IF($A99="","",ROUNDDOWN(ROUND($F98*$C$6/12,4),0))</f>
        <v/>
      </c>
      <c r="F99" s="20">
        <f>IF($A99="","",$F98-$D99)</f>
        <v/>
      </c>
    </row>
    <row r="100" ht="17" customHeight="1">
      <c r="A100" s="21">
        <f>IF(80&lt;=$C$7,80,"")</f>
        <v/>
      </c>
      <c r="B100" s="22">
        <f>IF($A100="","",IF($C$8="","",EDATE($C$8,$A100-1)))</f>
        <v/>
      </c>
      <c r="C100" s="23">
        <f>IF($A100="","",$D100+$E100)</f>
        <v/>
      </c>
      <c r="D100" s="23">
        <f>IF($A100="","",IF($A100=$C$7,$F99,MIN($F99,MAX(0,$C$12-$E100))))</f>
        <v/>
      </c>
      <c r="E100" s="23">
        <f>IF($A100="","",ROUNDDOWN(ROUND($F99*$C$6/12,4),0))</f>
        <v/>
      </c>
      <c r="F100" s="23">
        <f>IF($A100="","",$F99-$D100)</f>
        <v/>
      </c>
    </row>
    <row r="101" ht="17" customHeight="1">
      <c r="A101" s="18">
        <f>IF(81&lt;=$C$7,81,"")</f>
        <v/>
      </c>
      <c r="B101" s="19">
        <f>IF($A101="","",IF($C$8="","",EDATE($C$8,$A101-1)))</f>
        <v/>
      </c>
      <c r="C101" s="20">
        <f>IF($A101="","",$D101+$E101)</f>
        <v/>
      </c>
      <c r="D101" s="20">
        <f>IF($A101="","",IF($A101=$C$7,$F100,MIN($F100,MAX(0,$C$12-$E101))))</f>
        <v/>
      </c>
      <c r="E101" s="20">
        <f>IF($A101="","",ROUNDDOWN(ROUND($F100*$C$6/12,4),0))</f>
        <v/>
      </c>
      <c r="F101" s="20">
        <f>IF($A101="","",$F100-$D101)</f>
        <v/>
      </c>
    </row>
    <row r="102" ht="17" customHeight="1">
      <c r="A102" s="21">
        <f>IF(82&lt;=$C$7,82,"")</f>
        <v/>
      </c>
      <c r="B102" s="22">
        <f>IF($A102="","",IF($C$8="","",EDATE($C$8,$A102-1)))</f>
        <v/>
      </c>
      <c r="C102" s="23">
        <f>IF($A102="","",$D102+$E102)</f>
        <v/>
      </c>
      <c r="D102" s="23">
        <f>IF($A102="","",IF($A102=$C$7,$F101,MIN($F101,MAX(0,$C$12-$E102))))</f>
        <v/>
      </c>
      <c r="E102" s="23">
        <f>IF($A102="","",ROUNDDOWN(ROUND($F101*$C$6/12,4),0))</f>
        <v/>
      </c>
      <c r="F102" s="23">
        <f>IF($A102="","",$F101-$D102)</f>
        <v/>
      </c>
    </row>
    <row r="103" ht="17" customHeight="1">
      <c r="A103" s="18">
        <f>IF(83&lt;=$C$7,83,"")</f>
        <v/>
      </c>
      <c r="B103" s="19">
        <f>IF($A103="","",IF($C$8="","",EDATE($C$8,$A103-1)))</f>
        <v/>
      </c>
      <c r="C103" s="20">
        <f>IF($A103="","",$D103+$E103)</f>
        <v/>
      </c>
      <c r="D103" s="20">
        <f>IF($A103="","",IF($A103=$C$7,$F102,MIN($F102,MAX(0,$C$12-$E103))))</f>
        <v/>
      </c>
      <c r="E103" s="20">
        <f>IF($A103="","",ROUNDDOWN(ROUND($F102*$C$6/12,4),0))</f>
        <v/>
      </c>
      <c r="F103" s="20">
        <f>IF($A103="","",$F102-$D103)</f>
        <v/>
      </c>
    </row>
    <row r="104" ht="17" customHeight="1">
      <c r="A104" s="21">
        <f>IF(84&lt;=$C$7,84,"")</f>
        <v/>
      </c>
      <c r="B104" s="22">
        <f>IF($A104="","",IF($C$8="","",EDATE($C$8,$A104-1)))</f>
        <v/>
      </c>
      <c r="C104" s="23">
        <f>IF($A104="","",$D104+$E104)</f>
        <v/>
      </c>
      <c r="D104" s="23">
        <f>IF($A104="","",IF($A104=$C$7,$F103,MIN($F103,MAX(0,$C$12-$E104))))</f>
        <v/>
      </c>
      <c r="E104" s="23">
        <f>IF($A104="","",ROUNDDOWN(ROUND($F103*$C$6/12,4),0))</f>
        <v/>
      </c>
      <c r="F104" s="23">
        <f>IF($A104="","",$F103-$D104)</f>
        <v/>
      </c>
    </row>
    <row r="105" ht="17" customHeight="1">
      <c r="A105" s="18">
        <f>IF(85&lt;=$C$7,85,"")</f>
        <v/>
      </c>
      <c r="B105" s="19">
        <f>IF($A105="","",IF($C$8="","",EDATE($C$8,$A105-1)))</f>
        <v/>
      </c>
      <c r="C105" s="20">
        <f>IF($A105="","",$D105+$E105)</f>
        <v/>
      </c>
      <c r="D105" s="20">
        <f>IF($A105="","",IF($A105=$C$7,$F104,MIN($F104,MAX(0,$C$12-$E105))))</f>
        <v/>
      </c>
      <c r="E105" s="20">
        <f>IF($A105="","",ROUNDDOWN(ROUND($F104*$C$6/12,4),0))</f>
        <v/>
      </c>
      <c r="F105" s="20">
        <f>IF($A105="","",$F104-$D105)</f>
        <v/>
      </c>
    </row>
    <row r="106" ht="17" customHeight="1">
      <c r="A106" s="21">
        <f>IF(86&lt;=$C$7,86,"")</f>
        <v/>
      </c>
      <c r="B106" s="22">
        <f>IF($A106="","",IF($C$8="","",EDATE($C$8,$A106-1)))</f>
        <v/>
      </c>
      <c r="C106" s="23">
        <f>IF($A106="","",$D106+$E106)</f>
        <v/>
      </c>
      <c r="D106" s="23">
        <f>IF($A106="","",IF($A106=$C$7,$F105,MIN($F105,MAX(0,$C$12-$E106))))</f>
        <v/>
      </c>
      <c r="E106" s="23">
        <f>IF($A106="","",ROUNDDOWN(ROUND($F105*$C$6/12,4),0))</f>
        <v/>
      </c>
      <c r="F106" s="23">
        <f>IF($A106="","",$F105-$D106)</f>
        <v/>
      </c>
    </row>
    <row r="107" ht="17" customHeight="1">
      <c r="A107" s="18">
        <f>IF(87&lt;=$C$7,87,"")</f>
        <v/>
      </c>
      <c r="B107" s="19">
        <f>IF($A107="","",IF($C$8="","",EDATE($C$8,$A107-1)))</f>
        <v/>
      </c>
      <c r="C107" s="20">
        <f>IF($A107="","",$D107+$E107)</f>
        <v/>
      </c>
      <c r="D107" s="20">
        <f>IF($A107="","",IF($A107=$C$7,$F106,MIN($F106,MAX(0,$C$12-$E107))))</f>
        <v/>
      </c>
      <c r="E107" s="20">
        <f>IF($A107="","",ROUNDDOWN(ROUND($F106*$C$6/12,4),0))</f>
        <v/>
      </c>
      <c r="F107" s="20">
        <f>IF($A107="","",$F106-$D107)</f>
        <v/>
      </c>
    </row>
    <row r="108" ht="17" customHeight="1">
      <c r="A108" s="21">
        <f>IF(88&lt;=$C$7,88,"")</f>
        <v/>
      </c>
      <c r="B108" s="22">
        <f>IF($A108="","",IF($C$8="","",EDATE($C$8,$A108-1)))</f>
        <v/>
      </c>
      <c r="C108" s="23">
        <f>IF($A108="","",$D108+$E108)</f>
        <v/>
      </c>
      <c r="D108" s="23">
        <f>IF($A108="","",IF($A108=$C$7,$F107,MIN($F107,MAX(0,$C$12-$E108))))</f>
        <v/>
      </c>
      <c r="E108" s="23">
        <f>IF($A108="","",ROUNDDOWN(ROUND($F107*$C$6/12,4),0))</f>
        <v/>
      </c>
      <c r="F108" s="23">
        <f>IF($A108="","",$F107-$D108)</f>
        <v/>
      </c>
    </row>
    <row r="109" ht="17" customHeight="1">
      <c r="A109" s="18">
        <f>IF(89&lt;=$C$7,89,"")</f>
        <v/>
      </c>
      <c r="B109" s="19">
        <f>IF($A109="","",IF($C$8="","",EDATE($C$8,$A109-1)))</f>
        <v/>
      </c>
      <c r="C109" s="20">
        <f>IF($A109="","",$D109+$E109)</f>
        <v/>
      </c>
      <c r="D109" s="20">
        <f>IF($A109="","",IF($A109=$C$7,$F108,MIN($F108,MAX(0,$C$12-$E109))))</f>
        <v/>
      </c>
      <c r="E109" s="20">
        <f>IF($A109="","",ROUNDDOWN(ROUND($F108*$C$6/12,4),0))</f>
        <v/>
      </c>
      <c r="F109" s="20">
        <f>IF($A109="","",$F108-$D109)</f>
        <v/>
      </c>
    </row>
    <row r="110" ht="17" customHeight="1">
      <c r="A110" s="21">
        <f>IF(90&lt;=$C$7,90,"")</f>
        <v/>
      </c>
      <c r="B110" s="22">
        <f>IF($A110="","",IF($C$8="","",EDATE($C$8,$A110-1)))</f>
        <v/>
      </c>
      <c r="C110" s="23">
        <f>IF($A110="","",$D110+$E110)</f>
        <v/>
      </c>
      <c r="D110" s="23">
        <f>IF($A110="","",IF($A110=$C$7,$F109,MIN($F109,MAX(0,$C$12-$E110))))</f>
        <v/>
      </c>
      <c r="E110" s="23">
        <f>IF($A110="","",ROUNDDOWN(ROUND($F109*$C$6/12,4),0))</f>
        <v/>
      </c>
      <c r="F110" s="23">
        <f>IF($A110="","",$F109-$D110)</f>
        <v/>
      </c>
    </row>
    <row r="111" ht="17" customHeight="1">
      <c r="A111" s="18">
        <f>IF(91&lt;=$C$7,91,"")</f>
        <v/>
      </c>
      <c r="B111" s="19">
        <f>IF($A111="","",IF($C$8="","",EDATE($C$8,$A111-1)))</f>
        <v/>
      </c>
      <c r="C111" s="20">
        <f>IF($A111="","",$D111+$E111)</f>
        <v/>
      </c>
      <c r="D111" s="20">
        <f>IF($A111="","",IF($A111=$C$7,$F110,MIN($F110,MAX(0,$C$12-$E111))))</f>
        <v/>
      </c>
      <c r="E111" s="20">
        <f>IF($A111="","",ROUNDDOWN(ROUND($F110*$C$6/12,4),0))</f>
        <v/>
      </c>
      <c r="F111" s="20">
        <f>IF($A111="","",$F110-$D111)</f>
        <v/>
      </c>
    </row>
    <row r="112" ht="17" customHeight="1">
      <c r="A112" s="21">
        <f>IF(92&lt;=$C$7,92,"")</f>
        <v/>
      </c>
      <c r="B112" s="22">
        <f>IF($A112="","",IF($C$8="","",EDATE($C$8,$A112-1)))</f>
        <v/>
      </c>
      <c r="C112" s="23">
        <f>IF($A112="","",$D112+$E112)</f>
        <v/>
      </c>
      <c r="D112" s="23">
        <f>IF($A112="","",IF($A112=$C$7,$F111,MIN($F111,MAX(0,$C$12-$E112))))</f>
        <v/>
      </c>
      <c r="E112" s="23">
        <f>IF($A112="","",ROUNDDOWN(ROUND($F111*$C$6/12,4),0))</f>
        <v/>
      </c>
      <c r="F112" s="23">
        <f>IF($A112="","",$F111-$D112)</f>
        <v/>
      </c>
    </row>
    <row r="113" ht="17" customHeight="1">
      <c r="A113" s="18">
        <f>IF(93&lt;=$C$7,93,"")</f>
        <v/>
      </c>
      <c r="B113" s="19">
        <f>IF($A113="","",IF($C$8="","",EDATE($C$8,$A113-1)))</f>
        <v/>
      </c>
      <c r="C113" s="20">
        <f>IF($A113="","",$D113+$E113)</f>
        <v/>
      </c>
      <c r="D113" s="20">
        <f>IF($A113="","",IF($A113=$C$7,$F112,MIN($F112,MAX(0,$C$12-$E113))))</f>
        <v/>
      </c>
      <c r="E113" s="20">
        <f>IF($A113="","",ROUNDDOWN(ROUND($F112*$C$6/12,4),0))</f>
        <v/>
      </c>
      <c r="F113" s="20">
        <f>IF($A113="","",$F112-$D113)</f>
        <v/>
      </c>
    </row>
    <row r="114" ht="17" customHeight="1">
      <c r="A114" s="21">
        <f>IF(94&lt;=$C$7,94,"")</f>
        <v/>
      </c>
      <c r="B114" s="22">
        <f>IF($A114="","",IF($C$8="","",EDATE($C$8,$A114-1)))</f>
        <v/>
      </c>
      <c r="C114" s="23">
        <f>IF($A114="","",$D114+$E114)</f>
        <v/>
      </c>
      <c r="D114" s="23">
        <f>IF($A114="","",IF($A114=$C$7,$F113,MIN($F113,MAX(0,$C$12-$E114))))</f>
        <v/>
      </c>
      <c r="E114" s="23">
        <f>IF($A114="","",ROUNDDOWN(ROUND($F113*$C$6/12,4),0))</f>
        <v/>
      </c>
      <c r="F114" s="23">
        <f>IF($A114="","",$F113-$D114)</f>
        <v/>
      </c>
    </row>
    <row r="115" ht="17" customHeight="1">
      <c r="A115" s="18">
        <f>IF(95&lt;=$C$7,95,"")</f>
        <v/>
      </c>
      <c r="B115" s="19">
        <f>IF($A115="","",IF($C$8="","",EDATE($C$8,$A115-1)))</f>
        <v/>
      </c>
      <c r="C115" s="20">
        <f>IF($A115="","",$D115+$E115)</f>
        <v/>
      </c>
      <c r="D115" s="20">
        <f>IF($A115="","",IF($A115=$C$7,$F114,MIN($F114,MAX(0,$C$12-$E115))))</f>
        <v/>
      </c>
      <c r="E115" s="20">
        <f>IF($A115="","",ROUNDDOWN(ROUND($F114*$C$6/12,4),0))</f>
        <v/>
      </c>
      <c r="F115" s="20">
        <f>IF($A115="","",$F114-$D115)</f>
        <v/>
      </c>
    </row>
    <row r="116" ht="17" customHeight="1">
      <c r="A116" s="21">
        <f>IF(96&lt;=$C$7,96,"")</f>
        <v/>
      </c>
      <c r="B116" s="22">
        <f>IF($A116="","",IF($C$8="","",EDATE($C$8,$A116-1)))</f>
        <v/>
      </c>
      <c r="C116" s="23">
        <f>IF($A116="","",$D116+$E116)</f>
        <v/>
      </c>
      <c r="D116" s="23">
        <f>IF($A116="","",IF($A116=$C$7,$F115,MIN($F115,MAX(0,$C$12-$E116))))</f>
        <v/>
      </c>
      <c r="E116" s="23">
        <f>IF($A116="","",ROUNDDOWN(ROUND($F115*$C$6/12,4),0))</f>
        <v/>
      </c>
      <c r="F116" s="23">
        <f>IF($A116="","",$F115-$D116)</f>
        <v/>
      </c>
    </row>
    <row r="117" ht="17" customHeight="1">
      <c r="A117" s="18">
        <f>IF(97&lt;=$C$7,97,"")</f>
        <v/>
      </c>
      <c r="B117" s="19">
        <f>IF($A117="","",IF($C$8="","",EDATE($C$8,$A117-1)))</f>
        <v/>
      </c>
      <c r="C117" s="20">
        <f>IF($A117="","",$D117+$E117)</f>
        <v/>
      </c>
      <c r="D117" s="20">
        <f>IF($A117="","",IF($A117=$C$7,$F116,MIN($F116,MAX(0,$C$12-$E117))))</f>
        <v/>
      </c>
      <c r="E117" s="20">
        <f>IF($A117="","",ROUNDDOWN(ROUND($F116*$C$6/12,4),0))</f>
        <v/>
      </c>
      <c r="F117" s="20">
        <f>IF($A117="","",$F116-$D117)</f>
        <v/>
      </c>
    </row>
    <row r="118" ht="17" customHeight="1">
      <c r="A118" s="21">
        <f>IF(98&lt;=$C$7,98,"")</f>
        <v/>
      </c>
      <c r="B118" s="22">
        <f>IF($A118="","",IF($C$8="","",EDATE($C$8,$A118-1)))</f>
        <v/>
      </c>
      <c r="C118" s="23">
        <f>IF($A118="","",$D118+$E118)</f>
        <v/>
      </c>
      <c r="D118" s="23">
        <f>IF($A118="","",IF($A118=$C$7,$F117,MIN($F117,MAX(0,$C$12-$E118))))</f>
        <v/>
      </c>
      <c r="E118" s="23">
        <f>IF($A118="","",ROUNDDOWN(ROUND($F117*$C$6/12,4),0))</f>
        <v/>
      </c>
      <c r="F118" s="23">
        <f>IF($A118="","",$F117-$D118)</f>
        <v/>
      </c>
    </row>
    <row r="119" ht="17" customHeight="1">
      <c r="A119" s="18">
        <f>IF(99&lt;=$C$7,99,"")</f>
        <v/>
      </c>
      <c r="B119" s="19">
        <f>IF($A119="","",IF($C$8="","",EDATE($C$8,$A119-1)))</f>
        <v/>
      </c>
      <c r="C119" s="20">
        <f>IF($A119="","",$D119+$E119)</f>
        <v/>
      </c>
      <c r="D119" s="20">
        <f>IF($A119="","",IF($A119=$C$7,$F118,MIN($F118,MAX(0,$C$12-$E119))))</f>
        <v/>
      </c>
      <c r="E119" s="20">
        <f>IF($A119="","",ROUNDDOWN(ROUND($F118*$C$6/12,4),0))</f>
        <v/>
      </c>
      <c r="F119" s="20">
        <f>IF($A119="","",$F118-$D119)</f>
        <v/>
      </c>
    </row>
    <row r="120" ht="17" customHeight="1">
      <c r="A120" s="21">
        <f>IF(100&lt;=$C$7,100,"")</f>
        <v/>
      </c>
      <c r="B120" s="22">
        <f>IF($A120="","",IF($C$8="","",EDATE($C$8,$A120-1)))</f>
        <v/>
      </c>
      <c r="C120" s="23">
        <f>IF($A120="","",$D120+$E120)</f>
        <v/>
      </c>
      <c r="D120" s="23">
        <f>IF($A120="","",IF($A120=$C$7,$F119,MIN($F119,MAX(0,$C$12-$E120))))</f>
        <v/>
      </c>
      <c r="E120" s="23">
        <f>IF($A120="","",ROUNDDOWN(ROUND($F119*$C$6/12,4),0))</f>
        <v/>
      </c>
      <c r="F120" s="23">
        <f>IF($A120="","",$F119-$D120)</f>
        <v/>
      </c>
    </row>
    <row r="121" ht="17" customHeight="1">
      <c r="A121" s="18">
        <f>IF(101&lt;=$C$7,101,"")</f>
        <v/>
      </c>
      <c r="B121" s="19">
        <f>IF($A121="","",IF($C$8="","",EDATE($C$8,$A121-1)))</f>
        <v/>
      </c>
      <c r="C121" s="20">
        <f>IF($A121="","",$D121+$E121)</f>
        <v/>
      </c>
      <c r="D121" s="20">
        <f>IF($A121="","",IF($A121=$C$7,$F120,MIN($F120,MAX(0,$C$12-$E121))))</f>
        <v/>
      </c>
      <c r="E121" s="20">
        <f>IF($A121="","",ROUNDDOWN(ROUND($F120*$C$6/12,4),0))</f>
        <v/>
      </c>
      <c r="F121" s="20">
        <f>IF($A121="","",$F120-$D121)</f>
        <v/>
      </c>
    </row>
    <row r="122" ht="17" customHeight="1">
      <c r="A122" s="21">
        <f>IF(102&lt;=$C$7,102,"")</f>
        <v/>
      </c>
      <c r="B122" s="22">
        <f>IF($A122="","",IF($C$8="","",EDATE($C$8,$A122-1)))</f>
        <v/>
      </c>
      <c r="C122" s="23">
        <f>IF($A122="","",$D122+$E122)</f>
        <v/>
      </c>
      <c r="D122" s="23">
        <f>IF($A122="","",IF($A122=$C$7,$F121,MIN($F121,MAX(0,$C$12-$E122))))</f>
        <v/>
      </c>
      <c r="E122" s="23">
        <f>IF($A122="","",ROUNDDOWN(ROUND($F121*$C$6/12,4),0))</f>
        <v/>
      </c>
      <c r="F122" s="23">
        <f>IF($A122="","",$F121-$D122)</f>
        <v/>
      </c>
    </row>
    <row r="123" ht="17" customHeight="1">
      <c r="A123" s="18">
        <f>IF(103&lt;=$C$7,103,"")</f>
        <v/>
      </c>
      <c r="B123" s="19">
        <f>IF($A123="","",IF($C$8="","",EDATE($C$8,$A123-1)))</f>
        <v/>
      </c>
      <c r="C123" s="20">
        <f>IF($A123="","",$D123+$E123)</f>
        <v/>
      </c>
      <c r="D123" s="20">
        <f>IF($A123="","",IF($A123=$C$7,$F122,MIN($F122,MAX(0,$C$12-$E123))))</f>
        <v/>
      </c>
      <c r="E123" s="20">
        <f>IF($A123="","",ROUNDDOWN(ROUND($F122*$C$6/12,4),0))</f>
        <v/>
      </c>
      <c r="F123" s="20">
        <f>IF($A123="","",$F122-$D123)</f>
        <v/>
      </c>
    </row>
    <row r="124" ht="17" customHeight="1">
      <c r="A124" s="21">
        <f>IF(104&lt;=$C$7,104,"")</f>
        <v/>
      </c>
      <c r="B124" s="22">
        <f>IF($A124="","",IF($C$8="","",EDATE($C$8,$A124-1)))</f>
        <v/>
      </c>
      <c r="C124" s="23">
        <f>IF($A124="","",$D124+$E124)</f>
        <v/>
      </c>
      <c r="D124" s="23">
        <f>IF($A124="","",IF($A124=$C$7,$F123,MIN($F123,MAX(0,$C$12-$E124))))</f>
        <v/>
      </c>
      <c r="E124" s="23">
        <f>IF($A124="","",ROUNDDOWN(ROUND($F123*$C$6/12,4),0))</f>
        <v/>
      </c>
      <c r="F124" s="23">
        <f>IF($A124="","",$F123-$D124)</f>
        <v/>
      </c>
    </row>
    <row r="125" ht="17" customHeight="1">
      <c r="A125" s="18">
        <f>IF(105&lt;=$C$7,105,"")</f>
        <v/>
      </c>
      <c r="B125" s="19">
        <f>IF($A125="","",IF($C$8="","",EDATE($C$8,$A125-1)))</f>
        <v/>
      </c>
      <c r="C125" s="20">
        <f>IF($A125="","",$D125+$E125)</f>
        <v/>
      </c>
      <c r="D125" s="20">
        <f>IF($A125="","",IF($A125=$C$7,$F124,MIN($F124,MAX(0,$C$12-$E125))))</f>
        <v/>
      </c>
      <c r="E125" s="20">
        <f>IF($A125="","",ROUNDDOWN(ROUND($F124*$C$6/12,4),0))</f>
        <v/>
      </c>
      <c r="F125" s="20">
        <f>IF($A125="","",$F124-$D125)</f>
        <v/>
      </c>
    </row>
    <row r="126" ht="17" customHeight="1">
      <c r="A126" s="21">
        <f>IF(106&lt;=$C$7,106,"")</f>
        <v/>
      </c>
      <c r="B126" s="22">
        <f>IF($A126="","",IF($C$8="","",EDATE($C$8,$A126-1)))</f>
        <v/>
      </c>
      <c r="C126" s="23">
        <f>IF($A126="","",$D126+$E126)</f>
        <v/>
      </c>
      <c r="D126" s="23">
        <f>IF($A126="","",IF($A126=$C$7,$F125,MIN($F125,MAX(0,$C$12-$E126))))</f>
        <v/>
      </c>
      <c r="E126" s="23">
        <f>IF($A126="","",ROUNDDOWN(ROUND($F125*$C$6/12,4),0))</f>
        <v/>
      </c>
      <c r="F126" s="23">
        <f>IF($A126="","",$F125-$D126)</f>
        <v/>
      </c>
    </row>
    <row r="127" ht="17" customHeight="1">
      <c r="A127" s="18">
        <f>IF(107&lt;=$C$7,107,"")</f>
        <v/>
      </c>
      <c r="B127" s="19">
        <f>IF($A127="","",IF($C$8="","",EDATE($C$8,$A127-1)))</f>
        <v/>
      </c>
      <c r="C127" s="20">
        <f>IF($A127="","",$D127+$E127)</f>
        <v/>
      </c>
      <c r="D127" s="20">
        <f>IF($A127="","",IF($A127=$C$7,$F126,MIN($F126,MAX(0,$C$12-$E127))))</f>
        <v/>
      </c>
      <c r="E127" s="20">
        <f>IF($A127="","",ROUNDDOWN(ROUND($F126*$C$6/12,4),0))</f>
        <v/>
      </c>
      <c r="F127" s="20">
        <f>IF($A127="","",$F126-$D127)</f>
        <v/>
      </c>
    </row>
    <row r="128" ht="17" customHeight="1">
      <c r="A128" s="21">
        <f>IF(108&lt;=$C$7,108,"")</f>
        <v/>
      </c>
      <c r="B128" s="22">
        <f>IF($A128="","",IF($C$8="","",EDATE($C$8,$A128-1)))</f>
        <v/>
      </c>
      <c r="C128" s="23">
        <f>IF($A128="","",$D128+$E128)</f>
        <v/>
      </c>
      <c r="D128" s="23">
        <f>IF($A128="","",IF($A128=$C$7,$F127,MIN($F127,MAX(0,$C$12-$E128))))</f>
        <v/>
      </c>
      <c r="E128" s="23">
        <f>IF($A128="","",ROUNDDOWN(ROUND($F127*$C$6/12,4),0))</f>
        <v/>
      </c>
      <c r="F128" s="23">
        <f>IF($A128="","",$F127-$D128)</f>
        <v/>
      </c>
    </row>
    <row r="129" ht="17" customHeight="1">
      <c r="A129" s="18">
        <f>IF(109&lt;=$C$7,109,"")</f>
        <v/>
      </c>
      <c r="B129" s="19">
        <f>IF($A129="","",IF($C$8="","",EDATE($C$8,$A129-1)))</f>
        <v/>
      </c>
      <c r="C129" s="20">
        <f>IF($A129="","",$D129+$E129)</f>
        <v/>
      </c>
      <c r="D129" s="20">
        <f>IF($A129="","",IF($A129=$C$7,$F128,MIN($F128,MAX(0,$C$12-$E129))))</f>
        <v/>
      </c>
      <c r="E129" s="20">
        <f>IF($A129="","",ROUNDDOWN(ROUND($F128*$C$6/12,4),0))</f>
        <v/>
      </c>
      <c r="F129" s="20">
        <f>IF($A129="","",$F128-$D129)</f>
        <v/>
      </c>
    </row>
    <row r="130" ht="17" customHeight="1">
      <c r="A130" s="21">
        <f>IF(110&lt;=$C$7,110,"")</f>
        <v/>
      </c>
      <c r="B130" s="22">
        <f>IF($A130="","",IF($C$8="","",EDATE($C$8,$A130-1)))</f>
        <v/>
      </c>
      <c r="C130" s="23">
        <f>IF($A130="","",$D130+$E130)</f>
        <v/>
      </c>
      <c r="D130" s="23">
        <f>IF($A130="","",IF($A130=$C$7,$F129,MIN($F129,MAX(0,$C$12-$E130))))</f>
        <v/>
      </c>
      <c r="E130" s="23">
        <f>IF($A130="","",ROUNDDOWN(ROUND($F129*$C$6/12,4),0))</f>
        <v/>
      </c>
      <c r="F130" s="23">
        <f>IF($A130="","",$F129-$D130)</f>
        <v/>
      </c>
    </row>
    <row r="131" ht="17" customHeight="1">
      <c r="A131" s="18">
        <f>IF(111&lt;=$C$7,111,"")</f>
        <v/>
      </c>
      <c r="B131" s="19">
        <f>IF($A131="","",IF($C$8="","",EDATE($C$8,$A131-1)))</f>
        <v/>
      </c>
      <c r="C131" s="20">
        <f>IF($A131="","",$D131+$E131)</f>
        <v/>
      </c>
      <c r="D131" s="20">
        <f>IF($A131="","",IF($A131=$C$7,$F130,MIN($F130,MAX(0,$C$12-$E131))))</f>
        <v/>
      </c>
      <c r="E131" s="20">
        <f>IF($A131="","",ROUNDDOWN(ROUND($F130*$C$6/12,4),0))</f>
        <v/>
      </c>
      <c r="F131" s="20">
        <f>IF($A131="","",$F130-$D131)</f>
        <v/>
      </c>
    </row>
    <row r="132" ht="17" customHeight="1">
      <c r="A132" s="21">
        <f>IF(112&lt;=$C$7,112,"")</f>
        <v/>
      </c>
      <c r="B132" s="22">
        <f>IF($A132="","",IF($C$8="","",EDATE($C$8,$A132-1)))</f>
        <v/>
      </c>
      <c r="C132" s="23">
        <f>IF($A132="","",$D132+$E132)</f>
        <v/>
      </c>
      <c r="D132" s="23">
        <f>IF($A132="","",IF($A132=$C$7,$F131,MIN($F131,MAX(0,$C$12-$E132))))</f>
        <v/>
      </c>
      <c r="E132" s="23">
        <f>IF($A132="","",ROUNDDOWN(ROUND($F131*$C$6/12,4),0))</f>
        <v/>
      </c>
      <c r="F132" s="23">
        <f>IF($A132="","",$F131-$D132)</f>
        <v/>
      </c>
    </row>
    <row r="133" ht="17" customHeight="1">
      <c r="A133" s="18">
        <f>IF(113&lt;=$C$7,113,"")</f>
        <v/>
      </c>
      <c r="B133" s="19">
        <f>IF($A133="","",IF($C$8="","",EDATE($C$8,$A133-1)))</f>
        <v/>
      </c>
      <c r="C133" s="20">
        <f>IF($A133="","",$D133+$E133)</f>
        <v/>
      </c>
      <c r="D133" s="20">
        <f>IF($A133="","",IF($A133=$C$7,$F132,MIN($F132,MAX(0,$C$12-$E133))))</f>
        <v/>
      </c>
      <c r="E133" s="20">
        <f>IF($A133="","",ROUNDDOWN(ROUND($F132*$C$6/12,4),0))</f>
        <v/>
      </c>
      <c r="F133" s="20">
        <f>IF($A133="","",$F132-$D133)</f>
        <v/>
      </c>
    </row>
    <row r="134" ht="17" customHeight="1">
      <c r="A134" s="21">
        <f>IF(114&lt;=$C$7,114,"")</f>
        <v/>
      </c>
      <c r="B134" s="22">
        <f>IF($A134="","",IF($C$8="","",EDATE($C$8,$A134-1)))</f>
        <v/>
      </c>
      <c r="C134" s="23">
        <f>IF($A134="","",$D134+$E134)</f>
        <v/>
      </c>
      <c r="D134" s="23">
        <f>IF($A134="","",IF($A134=$C$7,$F133,MIN($F133,MAX(0,$C$12-$E134))))</f>
        <v/>
      </c>
      <c r="E134" s="23">
        <f>IF($A134="","",ROUNDDOWN(ROUND($F133*$C$6/12,4),0))</f>
        <v/>
      </c>
      <c r="F134" s="23">
        <f>IF($A134="","",$F133-$D134)</f>
        <v/>
      </c>
    </row>
    <row r="135" ht="17" customHeight="1">
      <c r="A135" s="18">
        <f>IF(115&lt;=$C$7,115,"")</f>
        <v/>
      </c>
      <c r="B135" s="19">
        <f>IF($A135="","",IF($C$8="","",EDATE($C$8,$A135-1)))</f>
        <v/>
      </c>
      <c r="C135" s="20">
        <f>IF($A135="","",$D135+$E135)</f>
        <v/>
      </c>
      <c r="D135" s="20">
        <f>IF($A135="","",IF($A135=$C$7,$F134,MIN($F134,MAX(0,$C$12-$E135))))</f>
        <v/>
      </c>
      <c r="E135" s="20">
        <f>IF($A135="","",ROUNDDOWN(ROUND($F134*$C$6/12,4),0))</f>
        <v/>
      </c>
      <c r="F135" s="20">
        <f>IF($A135="","",$F134-$D135)</f>
        <v/>
      </c>
    </row>
    <row r="136" ht="17" customHeight="1">
      <c r="A136" s="21">
        <f>IF(116&lt;=$C$7,116,"")</f>
        <v/>
      </c>
      <c r="B136" s="22">
        <f>IF($A136="","",IF($C$8="","",EDATE($C$8,$A136-1)))</f>
        <v/>
      </c>
      <c r="C136" s="23">
        <f>IF($A136="","",$D136+$E136)</f>
        <v/>
      </c>
      <c r="D136" s="23">
        <f>IF($A136="","",IF($A136=$C$7,$F135,MIN($F135,MAX(0,$C$12-$E136))))</f>
        <v/>
      </c>
      <c r="E136" s="23">
        <f>IF($A136="","",ROUNDDOWN(ROUND($F135*$C$6/12,4),0))</f>
        <v/>
      </c>
      <c r="F136" s="23">
        <f>IF($A136="","",$F135-$D136)</f>
        <v/>
      </c>
    </row>
    <row r="137" ht="17" customHeight="1">
      <c r="A137" s="18">
        <f>IF(117&lt;=$C$7,117,"")</f>
        <v/>
      </c>
      <c r="B137" s="19">
        <f>IF($A137="","",IF($C$8="","",EDATE($C$8,$A137-1)))</f>
        <v/>
      </c>
      <c r="C137" s="20">
        <f>IF($A137="","",$D137+$E137)</f>
        <v/>
      </c>
      <c r="D137" s="20">
        <f>IF($A137="","",IF($A137=$C$7,$F136,MIN($F136,MAX(0,$C$12-$E137))))</f>
        <v/>
      </c>
      <c r="E137" s="20">
        <f>IF($A137="","",ROUNDDOWN(ROUND($F136*$C$6/12,4),0))</f>
        <v/>
      </c>
      <c r="F137" s="20">
        <f>IF($A137="","",$F136-$D137)</f>
        <v/>
      </c>
    </row>
    <row r="138" ht="17" customHeight="1">
      <c r="A138" s="21">
        <f>IF(118&lt;=$C$7,118,"")</f>
        <v/>
      </c>
      <c r="B138" s="22">
        <f>IF($A138="","",IF($C$8="","",EDATE($C$8,$A138-1)))</f>
        <v/>
      </c>
      <c r="C138" s="23">
        <f>IF($A138="","",$D138+$E138)</f>
        <v/>
      </c>
      <c r="D138" s="23">
        <f>IF($A138="","",IF($A138=$C$7,$F137,MIN($F137,MAX(0,$C$12-$E138))))</f>
        <v/>
      </c>
      <c r="E138" s="23">
        <f>IF($A138="","",ROUNDDOWN(ROUND($F137*$C$6/12,4),0))</f>
        <v/>
      </c>
      <c r="F138" s="23">
        <f>IF($A138="","",$F137-$D138)</f>
        <v/>
      </c>
    </row>
    <row r="139" ht="17" customHeight="1">
      <c r="A139" s="18">
        <f>IF(119&lt;=$C$7,119,"")</f>
        <v/>
      </c>
      <c r="B139" s="19">
        <f>IF($A139="","",IF($C$8="","",EDATE($C$8,$A139-1)))</f>
        <v/>
      </c>
      <c r="C139" s="20">
        <f>IF($A139="","",$D139+$E139)</f>
        <v/>
      </c>
      <c r="D139" s="20">
        <f>IF($A139="","",IF($A139=$C$7,$F138,MIN($F138,MAX(0,$C$12-$E139))))</f>
        <v/>
      </c>
      <c r="E139" s="20">
        <f>IF($A139="","",ROUNDDOWN(ROUND($F138*$C$6/12,4),0))</f>
        <v/>
      </c>
      <c r="F139" s="20">
        <f>IF($A139="","",$F138-$D139)</f>
        <v/>
      </c>
    </row>
    <row r="140" ht="17" customHeight="1">
      <c r="A140" s="21">
        <f>IF(120&lt;=$C$7,120,"")</f>
        <v/>
      </c>
      <c r="B140" s="22">
        <f>IF($A140="","",IF($C$8="","",EDATE($C$8,$A140-1)))</f>
        <v/>
      </c>
      <c r="C140" s="23">
        <f>IF($A140="","",$D140+$E140)</f>
        <v/>
      </c>
      <c r="D140" s="23">
        <f>IF($A140="","",IF($A140=$C$7,$F139,MIN($F139,MAX(0,$C$12-$E140))))</f>
        <v/>
      </c>
      <c r="E140" s="23">
        <f>IF($A140="","",ROUNDDOWN(ROUND($F139*$C$6/12,4),0))</f>
        <v/>
      </c>
      <c r="F140" s="23">
        <f>IF($A140="","",$F139-$D140)</f>
        <v/>
      </c>
    </row>
    <row r="142" ht="26" customHeight="1">
      <c r="A142" s="24" t="inlineStr">
        <is>
          <t>※1 利息は「前回返済後の残高 × 年利率 ÷ 12」で計算し、円未満を切り捨てています。金融機関の実際の返済予定表は日割り（365日）計算のため、数円〜数十円の差が出ることがあります。</t>
        </is>
      </c>
    </row>
    <row r="143" ht="16" customHeight="1">
      <c r="A143" s="24" t="inlineStr">
        <is>
          <t>※2 端数の調整のため、最終回の返済額だけ他の回と金額が異なります（残高を全額返済します）。</t>
        </is>
      </c>
    </row>
    <row r="144" ht="26" customHeight="1">
      <c r="A144" s="24" t="inlineStr">
        <is>
          <t>※3 本シートの計算結果は参考値です。実際の返済額・利息は金融機関の返済予定表をご確認ください。税務・会計上の最終的な判断は税理士等の専門家にご相談ください。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mergeCells count="40">
    <mergeCell ref="E12:F12"/>
    <mergeCell ref="C6:D6"/>
    <mergeCell ref="A15:B15"/>
    <mergeCell ref="C15:D15"/>
    <mergeCell ref="C5:D5"/>
    <mergeCell ref="E5:F5"/>
    <mergeCell ref="C14:D14"/>
    <mergeCell ref="E14:F14"/>
    <mergeCell ref="E17:F17"/>
    <mergeCell ref="E8:F8"/>
    <mergeCell ref="A6:B6"/>
    <mergeCell ref="A2:F2"/>
    <mergeCell ref="A16:B16"/>
    <mergeCell ref="A7:B7"/>
    <mergeCell ref="C16:D16"/>
    <mergeCell ref="A144:F144"/>
    <mergeCell ref="E13:F13"/>
    <mergeCell ref="A4:F4"/>
    <mergeCell ref="C9:D9"/>
    <mergeCell ref="E9:F9"/>
    <mergeCell ref="A12:B12"/>
    <mergeCell ref="C12:D12"/>
    <mergeCell ref="E6:F6"/>
    <mergeCell ref="A19:F19"/>
    <mergeCell ref="A5:B5"/>
    <mergeCell ref="A14:B14"/>
    <mergeCell ref="A143:F143"/>
    <mergeCell ref="A17:B17"/>
    <mergeCell ref="A8:B8"/>
    <mergeCell ref="C17:D17"/>
    <mergeCell ref="C8:D8"/>
    <mergeCell ref="A142:F142"/>
    <mergeCell ref="A11:F11"/>
    <mergeCell ref="C7:D7"/>
    <mergeCell ref="E16:F16"/>
    <mergeCell ref="E7:F7"/>
    <mergeCell ref="A1:F1"/>
    <mergeCell ref="A13:B13"/>
    <mergeCell ref="C13:D13"/>
    <mergeCell ref="A9:B9"/>
  </mergeCells>
  <dataValidations count="3">
    <dataValidation sqref="C5" showDropDown="0" showInputMessage="0" showErrorMessage="1" allowBlank="1" errorTitle="入力エラー" error="借入金額は0より大きい数値を入力してください。" type="decimal" operator="greaterThan">
      <formula1>0</formula1>
    </dataValidation>
    <dataValidation sqref="C6" showDropDown="0" showInputMessage="0" showErrorMessage="1" allowBlank="1" errorTitle="入力エラー" error="年利率は0%〜30%の範囲で入力してください。&#10;「1.8%」のように % を付けて入力します。" type="decimal" operator="between">
      <formula1>0</formula1>
      <formula2>0.3</formula2>
    </dataValidation>
    <dataValidation sqref="C7" showDropDown="0" showInputMessage="0" showErrorMessage="1" allowBlank="1" errorTitle="入力エラー" error="返済回数は1〜120 の整数で入力してください。&#10;無料版は最大120回（10年）までです。" type="whole" operator="between">
      <formula1>1</formula1>
      <formula2>120</formula2>
    </dataValidation>
  </dataValidations>
  <pageMargins left="0.4" right="0.4" top="0.5" bottom="0.5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tabColor rgb="0070AD47"/>
    <outlinePr summaryBelow="1" summaryRight="1"/>
    <pageSetUpPr fitToPage="1"/>
  </sheetPr>
  <dimension ref="A1:H144"/>
  <sheetViews>
    <sheetView showGridLines="0" workbookViewId="0">
      <pane ySplit="20" topLeftCell="A21" activePane="bottomLeft" state="frozen"/>
      <selection pane="bottomLeft" activeCell="C5" sqref="C5"/>
    </sheetView>
  </sheetViews>
  <sheetFormatPr baseColWidth="8" defaultRowHeight="15"/>
  <cols>
    <col width="9" customWidth="1" min="1" max="1"/>
    <col width="16" customWidth="1" min="2" max="2"/>
    <col width="15" customWidth="1" min="3" max="3"/>
    <col width="15" customWidth="1" min="4" max="4"/>
    <col width="14" customWidth="1" min="5" max="5"/>
    <col width="16" customWidth="1" min="6" max="6"/>
    <col width="2" customWidth="1" min="7" max="7"/>
    <col width="52" customWidth="1" min="8" max="8"/>
  </cols>
  <sheetData>
    <row r="1" ht="28" customHeight="1">
      <c r="A1" s="1" t="inlineStr">
        <is>
          <t>借入金返済予定表（元利均等返済）</t>
        </is>
      </c>
    </row>
    <row r="2">
      <c r="A2" s="2" t="inlineStr">
        <is>
          <t>無料版 v1.0　｜　青いセルに入力すると、返済予定表が自動で作成されます（最大120回・10年まで）</t>
        </is>
      </c>
    </row>
    <row r="4" ht="22" customHeight="1">
      <c r="A4" s="3" t="inlineStr">
        <is>
          <t>① 借入の条件を入力してください（青いセルだけ）</t>
        </is>
      </c>
      <c r="H4" s="4" t="inlineStr">
        <is>
          <t>▼ 入力チェック（画面のみ。印刷されません）</t>
        </is>
      </c>
    </row>
    <row r="5" ht="20" customHeight="1">
      <c r="A5" s="5" t="inlineStr">
        <is>
          <t>借入金額（円）</t>
        </is>
      </c>
      <c r="C5" s="6" t="n">
        <v>5000000</v>
      </c>
      <c r="D5" s="7" t="n"/>
      <c r="E5" s="8" t="inlineStr">
        <is>
          <t>例：5,000,000</t>
        </is>
      </c>
      <c r="H5" s="9">
        <f>IF($C$5="","▲ 借入金額を入力してください",IF($C$5&lt;=0,"▲ 借入金額は0より大きい金額を入力してください","✓ OK"))</f>
        <v/>
      </c>
    </row>
    <row r="6" ht="20" customHeight="1">
      <c r="A6" s="5" t="inlineStr">
        <is>
          <t>年利率（年）</t>
        </is>
      </c>
      <c r="C6" s="10" t="n">
        <v>0.018</v>
      </c>
      <c r="D6" s="7" t="n"/>
      <c r="E6" s="8" t="inlineStr">
        <is>
          <t>例：1.8%　※「%」を付けて入力</t>
        </is>
      </c>
      <c r="H6" s="9">
        <f>IF($C$6="","▲ 年利率を入力してください（無利息なら 0%）",IF($C$6&gt;0.3,"▲ 年利率が30%を超えています。1.8 ではなく 1.8% と入力してください",IF($C$6&lt;0,"▲ 年利率は0%以上で入力してください","✓ OK")))</f>
        <v/>
      </c>
    </row>
    <row r="7" ht="20" customHeight="1">
      <c r="A7" s="5" t="inlineStr">
        <is>
          <t>返済回数（か月）</t>
        </is>
      </c>
      <c r="C7" s="11" t="n">
        <v>60</v>
      </c>
      <c r="D7" s="7" t="n"/>
      <c r="E7" s="8" t="inlineStr">
        <is>
          <t>例：60（＝5年）　最大120</t>
        </is>
      </c>
      <c r="H7" s="9">
        <f>IF($C$7="","▲ 返済回数を入力してください",IF($C$7&gt;120,"▲ 無料版は120回（10年）までです",IF($C$7&lt;1,"▲ 返済回数は1以上の整数で入力してください","✓ OK")))</f>
        <v/>
      </c>
    </row>
    <row r="8" ht="20" customHeight="1">
      <c r="A8" s="5" t="inlineStr">
        <is>
          <t>初回返済日</t>
        </is>
      </c>
      <c r="C8" s="12" t="n">
        <v>46326</v>
      </c>
      <c r="D8" s="7" t="n"/>
      <c r="E8" s="8" t="inlineStr">
        <is>
          <t>例：2026/10/31</t>
        </is>
      </c>
      <c r="H8" s="9">
        <f>IF($C$8="","▲ 初回返済日を入力してください","✓ OK")</f>
        <v/>
      </c>
    </row>
    <row r="9" ht="20" customHeight="1">
      <c r="A9" s="5" t="inlineStr">
        <is>
          <t>決算日（任意）</t>
        </is>
      </c>
      <c r="C9" s="12" t="n">
        <v>46477</v>
      </c>
      <c r="D9" s="7" t="n"/>
      <c r="E9" s="8" t="inlineStr">
        <is>
          <t>入れると決算書の金額が出ます</t>
        </is>
      </c>
    </row>
    <row r="11" ht="22" customHeight="1">
      <c r="A11" s="3" t="inlineStr">
        <is>
          <t>② 計算結果（自動）</t>
        </is>
      </c>
    </row>
    <row r="12" ht="20" customHeight="1">
      <c r="A12" s="5" t="inlineStr">
        <is>
          <t>毎月の返済額</t>
        </is>
      </c>
      <c r="C12" s="13">
        <f>IF(OR($C$5="",$C$7=""),"",ROUND(PMT($C$6/12,$C$7,-$C$5),0))</f>
        <v/>
      </c>
      <c r="D12" s="14" t="n"/>
      <c r="E12" s="8" t="inlineStr">
        <is>
          <t>元金＋利息の合計（最終回を除く）</t>
        </is>
      </c>
      <c r="H12" s="9">
        <f>IF($C$12="","",IF(ROUND(SUM($D$21:$D$140),0)=$C$5,"✓ 元金の合計＝借入金額（完済チェックOK）","▲ 元金の合計が借入金額と一致しません"))</f>
        <v/>
      </c>
    </row>
    <row r="13" ht="20" customHeight="1">
      <c r="A13" s="5" t="inlineStr">
        <is>
          <t>返済総額</t>
        </is>
      </c>
      <c r="C13" s="15">
        <f>IF($C$12="","",SUM($C$21:$C$140))</f>
        <v/>
      </c>
      <c r="D13" s="14" t="n"/>
      <c r="E13" s="8" t="inlineStr">
        <is>
          <t>利息を含めた支払総額</t>
        </is>
      </c>
    </row>
    <row r="14" ht="20" customHeight="1">
      <c r="A14" s="5" t="inlineStr">
        <is>
          <t>利息の合計</t>
        </is>
      </c>
      <c r="C14" s="15">
        <f>IF($C$12="","",SUM($E$21:$E$140))</f>
        <v/>
      </c>
      <c r="D14" s="14" t="n"/>
      <c r="E14" s="8" t="inlineStr">
        <is>
          <t>支払う利息の総額</t>
        </is>
      </c>
    </row>
    <row r="15" ht="20" customHeight="1">
      <c r="A15" s="5" t="inlineStr">
        <is>
          <t>最終返済日</t>
        </is>
      </c>
      <c r="C15" s="16">
        <f>IF(OR($C$7="",$C$8=""),"",EDATE($C$8,$C$7-1))</f>
        <v/>
      </c>
      <c r="D15" s="14" t="n"/>
    </row>
    <row r="16" ht="20" customHeight="1">
      <c r="A16" s="5" t="inlineStr">
        <is>
          <t>決算日時点の借入残高</t>
        </is>
      </c>
      <c r="C16" s="15">
        <f>IF(OR($C$9="",$C$12=""),"",$C$5-SUMIF($B$21:$B$140,"&lt;="&amp;$C$9,$D$21:$D$140))</f>
        <v/>
      </c>
      <c r="D16" s="14" t="n"/>
      <c r="E16" s="8" t="inlineStr">
        <is>
          <t>決算書「借入金」の金額</t>
        </is>
      </c>
    </row>
    <row r="17" ht="20" customHeight="1">
      <c r="A17" s="5" t="inlineStr">
        <is>
          <t>うち1年内に返済する元金</t>
        </is>
      </c>
      <c r="C17" s="15">
        <f>IF(OR($C$9="",$C$12=""),"",SUMIFS($D$21:$D$140,$B$21:$B$140,"&gt;"&amp;$C$9,$B$21:$B$140,"&lt;="&amp;EDATE($C$9,12)))</f>
        <v/>
      </c>
      <c r="D17" s="14" t="n"/>
      <c r="E17" s="8" t="inlineStr">
        <is>
          <t>1年内返済長期借入金</t>
        </is>
      </c>
      <c r="H17" s="9">
        <f>IF($C$17="","",IF($C$17&gt;$C$16,"▲ 1年内返済額が残高を超えています","✓ OK"))</f>
        <v/>
      </c>
    </row>
    <row r="19" ht="22" customHeight="1">
      <c r="A19" s="3" t="inlineStr">
        <is>
          <t>③ 返済予定表</t>
        </is>
      </c>
    </row>
    <row r="20" ht="20" customHeight="1">
      <c r="A20" s="17" t="inlineStr">
        <is>
          <t>回数</t>
        </is>
      </c>
      <c r="B20" s="17" t="inlineStr">
        <is>
          <t>返済日</t>
        </is>
      </c>
      <c r="C20" s="17" t="inlineStr">
        <is>
          <t>返済額</t>
        </is>
      </c>
      <c r="D20" s="17" t="inlineStr">
        <is>
          <t>うち元金</t>
        </is>
      </c>
      <c r="E20" s="17" t="inlineStr">
        <is>
          <t>うち利息</t>
        </is>
      </c>
      <c r="F20" s="17" t="inlineStr">
        <is>
          <t>返済後残高</t>
        </is>
      </c>
    </row>
    <row r="21" ht="17" customHeight="1">
      <c r="A21" s="18">
        <f>IF(1&lt;=$C$7,1,"")</f>
        <v/>
      </c>
      <c r="B21" s="19">
        <f>IF($A21="","",IF($C$8="","",EDATE($C$8,$A21-1)))</f>
        <v/>
      </c>
      <c r="C21" s="20">
        <f>IF($A21="","",$D21+$E21)</f>
        <v/>
      </c>
      <c r="D21" s="20">
        <f>IF($A21="","",IF($A21=$C$7,$C$5,MIN($C$5,MAX(0,$C$12-$E21))))</f>
        <v/>
      </c>
      <c r="E21" s="20">
        <f>IF($A21="","",ROUNDDOWN(ROUND($C$5*$C$6/12,4),0))</f>
        <v/>
      </c>
      <c r="F21" s="20">
        <f>IF($A21="","",$C$5-$D21)</f>
        <v/>
      </c>
    </row>
    <row r="22" ht="17" customHeight="1">
      <c r="A22" s="21">
        <f>IF(2&lt;=$C$7,2,"")</f>
        <v/>
      </c>
      <c r="B22" s="22">
        <f>IF($A22="","",IF($C$8="","",EDATE($C$8,$A22-1)))</f>
        <v/>
      </c>
      <c r="C22" s="23">
        <f>IF($A22="","",$D22+$E22)</f>
        <v/>
      </c>
      <c r="D22" s="23">
        <f>IF($A22="","",IF($A22=$C$7,$F21,MIN($F21,MAX(0,$C$12-$E22))))</f>
        <v/>
      </c>
      <c r="E22" s="23">
        <f>IF($A22="","",ROUNDDOWN(ROUND($F21*$C$6/12,4),0))</f>
        <v/>
      </c>
      <c r="F22" s="23">
        <f>IF($A22="","",$F21-$D22)</f>
        <v/>
      </c>
    </row>
    <row r="23" ht="17" customHeight="1">
      <c r="A23" s="18">
        <f>IF(3&lt;=$C$7,3,"")</f>
        <v/>
      </c>
      <c r="B23" s="19">
        <f>IF($A23="","",IF($C$8="","",EDATE($C$8,$A23-1)))</f>
        <v/>
      </c>
      <c r="C23" s="20">
        <f>IF($A23="","",$D23+$E23)</f>
        <v/>
      </c>
      <c r="D23" s="20">
        <f>IF($A23="","",IF($A23=$C$7,$F22,MIN($F22,MAX(0,$C$12-$E23))))</f>
        <v/>
      </c>
      <c r="E23" s="20">
        <f>IF($A23="","",ROUNDDOWN(ROUND($F22*$C$6/12,4),0))</f>
        <v/>
      </c>
      <c r="F23" s="20">
        <f>IF($A23="","",$F22-$D23)</f>
        <v/>
      </c>
    </row>
    <row r="24" ht="17" customHeight="1">
      <c r="A24" s="21">
        <f>IF(4&lt;=$C$7,4,"")</f>
        <v/>
      </c>
      <c r="B24" s="22">
        <f>IF($A24="","",IF($C$8="","",EDATE($C$8,$A24-1)))</f>
        <v/>
      </c>
      <c r="C24" s="23">
        <f>IF($A24="","",$D24+$E24)</f>
        <v/>
      </c>
      <c r="D24" s="23">
        <f>IF($A24="","",IF($A24=$C$7,$F23,MIN($F23,MAX(0,$C$12-$E24))))</f>
        <v/>
      </c>
      <c r="E24" s="23">
        <f>IF($A24="","",ROUNDDOWN(ROUND($F23*$C$6/12,4),0))</f>
        <v/>
      </c>
      <c r="F24" s="23">
        <f>IF($A24="","",$F23-$D24)</f>
        <v/>
      </c>
    </row>
    <row r="25" ht="17" customHeight="1">
      <c r="A25" s="18">
        <f>IF(5&lt;=$C$7,5,"")</f>
        <v/>
      </c>
      <c r="B25" s="19">
        <f>IF($A25="","",IF($C$8="","",EDATE($C$8,$A25-1)))</f>
        <v/>
      </c>
      <c r="C25" s="20">
        <f>IF($A25="","",$D25+$E25)</f>
        <v/>
      </c>
      <c r="D25" s="20">
        <f>IF($A25="","",IF($A25=$C$7,$F24,MIN($F24,MAX(0,$C$12-$E25))))</f>
        <v/>
      </c>
      <c r="E25" s="20">
        <f>IF($A25="","",ROUNDDOWN(ROUND($F24*$C$6/12,4),0))</f>
        <v/>
      </c>
      <c r="F25" s="20">
        <f>IF($A25="","",$F24-$D25)</f>
        <v/>
      </c>
    </row>
    <row r="26" ht="17" customHeight="1">
      <c r="A26" s="21">
        <f>IF(6&lt;=$C$7,6,"")</f>
        <v/>
      </c>
      <c r="B26" s="22">
        <f>IF($A26="","",IF($C$8="","",EDATE($C$8,$A26-1)))</f>
        <v/>
      </c>
      <c r="C26" s="23">
        <f>IF($A26="","",$D26+$E26)</f>
        <v/>
      </c>
      <c r="D26" s="23">
        <f>IF($A26="","",IF($A26=$C$7,$F25,MIN($F25,MAX(0,$C$12-$E26))))</f>
        <v/>
      </c>
      <c r="E26" s="23">
        <f>IF($A26="","",ROUNDDOWN(ROUND($F25*$C$6/12,4),0))</f>
        <v/>
      </c>
      <c r="F26" s="23">
        <f>IF($A26="","",$F25-$D26)</f>
        <v/>
      </c>
    </row>
    <row r="27" ht="17" customHeight="1">
      <c r="A27" s="18">
        <f>IF(7&lt;=$C$7,7,"")</f>
        <v/>
      </c>
      <c r="B27" s="19">
        <f>IF($A27="","",IF($C$8="","",EDATE($C$8,$A27-1)))</f>
        <v/>
      </c>
      <c r="C27" s="20">
        <f>IF($A27="","",$D27+$E27)</f>
        <v/>
      </c>
      <c r="D27" s="20">
        <f>IF($A27="","",IF($A27=$C$7,$F26,MIN($F26,MAX(0,$C$12-$E27))))</f>
        <v/>
      </c>
      <c r="E27" s="20">
        <f>IF($A27="","",ROUNDDOWN(ROUND($F26*$C$6/12,4),0))</f>
        <v/>
      </c>
      <c r="F27" s="20">
        <f>IF($A27="","",$F26-$D27)</f>
        <v/>
      </c>
    </row>
    <row r="28" ht="17" customHeight="1">
      <c r="A28" s="21">
        <f>IF(8&lt;=$C$7,8,"")</f>
        <v/>
      </c>
      <c r="B28" s="22">
        <f>IF($A28="","",IF($C$8="","",EDATE($C$8,$A28-1)))</f>
        <v/>
      </c>
      <c r="C28" s="23">
        <f>IF($A28="","",$D28+$E28)</f>
        <v/>
      </c>
      <c r="D28" s="23">
        <f>IF($A28="","",IF($A28=$C$7,$F27,MIN($F27,MAX(0,$C$12-$E28))))</f>
        <v/>
      </c>
      <c r="E28" s="23">
        <f>IF($A28="","",ROUNDDOWN(ROUND($F27*$C$6/12,4),0))</f>
        <v/>
      </c>
      <c r="F28" s="23">
        <f>IF($A28="","",$F27-$D28)</f>
        <v/>
      </c>
    </row>
    <row r="29" ht="17" customHeight="1">
      <c r="A29" s="18">
        <f>IF(9&lt;=$C$7,9,"")</f>
        <v/>
      </c>
      <c r="B29" s="19">
        <f>IF($A29="","",IF($C$8="","",EDATE($C$8,$A29-1)))</f>
        <v/>
      </c>
      <c r="C29" s="20">
        <f>IF($A29="","",$D29+$E29)</f>
        <v/>
      </c>
      <c r="D29" s="20">
        <f>IF($A29="","",IF($A29=$C$7,$F28,MIN($F28,MAX(0,$C$12-$E29))))</f>
        <v/>
      </c>
      <c r="E29" s="20">
        <f>IF($A29="","",ROUNDDOWN(ROUND($F28*$C$6/12,4),0))</f>
        <v/>
      </c>
      <c r="F29" s="20">
        <f>IF($A29="","",$F28-$D29)</f>
        <v/>
      </c>
    </row>
    <row r="30" ht="17" customHeight="1">
      <c r="A30" s="21">
        <f>IF(10&lt;=$C$7,10,"")</f>
        <v/>
      </c>
      <c r="B30" s="22">
        <f>IF($A30="","",IF($C$8="","",EDATE($C$8,$A30-1)))</f>
        <v/>
      </c>
      <c r="C30" s="23">
        <f>IF($A30="","",$D30+$E30)</f>
        <v/>
      </c>
      <c r="D30" s="23">
        <f>IF($A30="","",IF($A30=$C$7,$F29,MIN($F29,MAX(0,$C$12-$E30))))</f>
        <v/>
      </c>
      <c r="E30" s="23">
        <f>IF($A30="","",ROUNDDOWN(ROUND($F29*$C$6/12,4),0))</f>
        <v/>
      </c>
      <c r="F30" s="23">
        <f>IF($A30="","",$F29-$D30)</f>
        <v/>
      </c>
    </row>
    <row r="31" ht="17" customHeight="1">
      <c r="A31" s="18">
        <f>IF(11&lt;=$C$7,11,"")</f>
        <v/>
      </c>
      <c r="B31" s="19">
        <f>IF($A31="","",IF($C$8="","",EDATE($C$8,$A31-1)))</f>
        <v/>
      </c>
      <c r="C31" s="20">
        <f>IF($A31="","",$D31+$E31)</f>
        <v/>
      </c>
      <c r="D31" s="20">
        <f>IF($A31="","",IF($A31=$C$7,$F30,MIN($F30,MAX(0,$C$12-$E31))))</f>
        <v/>
      </c>
      <c r="E31" s="20">
        <f>IF($A31="","",ROUNDDOWN(ROUND($F30*$C$6/12,4),0))</f>
        <v/>
      </c>
      <c r="F31" s="20">
        <f>IF($A31="","",$F30-$D31)</f>
        <v/>
      </c>
    </row>
    <row r="32" ht="17" customHeight="1">
      <c r="A32" s="21">
        <f>IF(12&lt;=$C$7,12,"")</f>
        <v/>
      </c>
      <c r="B32" s="22">
        <f>IF($A32="","",IF($C$8="","",EDATE($C$8,$A32-1)))</f>
        <v/>
      </c>
      <c r="C32" s="23">
        <f>IF($A32="","",$D32+$E32)</f>
        <v/>
      </c>
      <c r="D32" s="23">
        <f>IF($A32="","",IF($A32=$C$7,$F31,MIN($F31,MAX(0,$C$12-$E32))))</f>
        <v/>
      </c>
      <c r="E32" s="23">
        <f>IF($A32="","",ROUNDDOWN(ROUND($F31*$C$6/12,4),0))</f>
        <v/>
      </c>
      <c r="F32" s="23">
        <f>IF($A32="","",$F31-$D32)</f>
        <v/>
      </c>
    </row>
    <row r="33" ht="17" customHeight="1">
      <c r="A33" s="18">
        <f>IF(13&lt;=$C$7,13,"")</f>
        <v/>
      </c>
      <c r="B33" s="19">
        <f>IF($A33="","",IF($C$8="","",EDATE($C$8,$A33-1)))</f>
        <v/>
      </c>
      <c r="C33" s="20">
        <f>IF($A33="","",$D33+$E33)</f>
        <v/>
      </c>
      <c r="D33" s="20">
        <f>IF($A33="","",IF($A33=$C$7,$F32,MIN($F32,MAX(0,$C$12-$E33))))</f>
        <v/>
      </c>
      <c r="E33" s="20">
        <f>IF($A33="","",ROUNDDOWN(ROUND($F32*$C$6/12,4),0))</f>
        <v/>
      </c>
      <c r="F33" s="20">
        <f>IF($A33="","",$F32-$D33)</f>
        <v/>
      </c>
    </row>
    <row r="34" ht="17" customHeight="1">
      <c r="A34" s="21">
        <f>IF(14&lt;=$C$7,14,"")</f>
        <v/>
      </c>
      <c r="B34" s="22">
        <f>IF($A34="","",IF($C$8="","",EDATE($C$8,$A34-1)))</f>
        <v/>
      </c>
      <c r="C34" s="23">
        <f>IF($A34="","",$D34+$E34)</f>
        <v/>
      </c>
      <c r="D34" s="23">
        <f>IF($A34="","",IF($A34=$C$7,$F33,MIN($F33,MAX(0,$C$12-$E34))))</f>
        <v/>
      </c>
      <c r="E34" s="23">
        <f>IF($A34="","",ROUNDDOWN(ROUND($F33*$C$6/12,4),0))</f>
        <v/>
      </c>
      <c r="F34" s="23">
        <f>IF($A34="","",$F33-$D34)</f>
        <v/>
      </c>
    </row>
    <row r="35" ht="17" customHeight="1">
      <c r="A35" s="18">
        <f>IF(15&lt;=$C$7,15,"")</f>
        <v/>
      </c>
      <c r="B35" s="19">
        <f>IF($A35="","",IF($C$8="","",EDATE($C$8,$A35-1)))</f>
        <v/>
      </c>
      <c r="C35" s="20">
        <f>IF($A35="","",$D35+$E35)</f>
        <v/>
      </c>
      <c r="D35" s="20">
        <f>IF($A35="","",IF($A35=$C$7,$F34,MIN($F34,MAX(0,$C$12-$E35))))</f>
        <v/>
      </c>
      <c r="E35" s="20">
        <f>IF($A35="","",ROUNDDOWN(ROUND($F34*$C$6/12,4),0))</f>
        <v/>
      </c>
      <c r="F35" s="20">
        <f>IF($A35="","",$F34-$D35)</f>
        <v/>
      </c>
    </row>
    <row r="36" ht="17" customHeight="1">
      <c r="A36" s="21">
        <f>IF(16&lt;=$C$7,16,"")</f>
        <v/>
      </c>
      <c r="B36" s="22">
        <f>IF($A36="","",IF($C$8="","",EDATE($C$8,$A36-1)))</f>
        <v/>
      </c>
      <c r="C36" s="23">
        <f>IF($A36="","",$D36+$E36)</f>
        <v/>
      </c>
      <c r="D36" s="23">
        <f>IF($A36="","",IF($A36=$C$7,$F35,MIN($F35,MAX(0,$C$12-$E36))))</f>
        <v/>
      </c>
      <c r="E36" s="23">
        <f>IF($A36="","",ROUNDDOWN(ROUND($F35*$C$6/12,4),0))</f>
        <v/>
      </c>
      <c r="F36" s="23">
        <f>IF($A36="","",$F35-$D36)</f>
        <v/>
      </c>
    </row>
    <row r="37" ht="17" customHeight="1">
      <c r="A37" s="18">
        <f>IF(17&lt;=$C$7,17,"")</f>
        <v/>
      </c>
      <c r="B37" s="19">
        <f>IF($A37="","",IF($C$8="","",EDATE($C$8,$A37-1)))</f>
        <v/>
      </c>
      <c r="C37" s="20">
        <f>IF($A37="","",$D37+$E37)</f>
        <v/>
      </c>
      <c r="D37" s="20">
        <f>IF($A37="","",IF($A37=$C$7,$F36,MIN($F36,MAX(0,$C$12-$E37))))</f>
        <v/>
      </c>
      <c r="E37" s="20">
        <f>IF($A37="","",ROUNDDOWN(ROUND($F36*$C$6/12,4),0))</f>
        <v/>
      </c>
      <c r="F37" s="20">
        <f>IF($A37="","",$F36-$D37)</f>
        <v/>
      </c>
    </row>
    <row r="38" ht="17" customHeight="1">
      <c r="A38" s="21">
        <f>IF(18&lt;=$C$7,18,"")</f>
        <v/>
      </c>
      <c r="B38" s="22">
        <f>IF($A38="","",IF($C$8="","",EDATE($C$8,$A38-1)))</f>
        <v/>
      </c>
      <c r="C38" s="23">
        <f>IF($A38="","",$D38+$E38)</f>
        <v/>
      </c>
      <c r="D38" s="23">
        <f>IF($A38="","",IF($A38=$C$7,$F37,MIN($F37,MAX(0,$C$12-$E38))))</f>
        <v/>
      </c>
      <c r="E38" s="23">
        <f>IF($A38="","",ROUNDDOWN(ROUND($F37*$C$6/12,4),0))</f>
        <v/>
      </c>
      <c r="F38" s="23">
        <f>IF($A38="","",$F37-$D38)</f>
        <v/>
      </c>
    </row>
    <row r="39" ht="17" customHeight="1">
      <c r="A39" s="18">
        <f>IF(19&lt;=$C$7,19,"")</f>
        <v/>
      </c>
      <c r="B39" s="19">
        <f>IF($A39="","",IF($C$8="","",EDATE($C$8,$A39-1)))</f>
        <v/>
      </c>
      <c r="C39" s="20">
        <f>IF($A39="","",$D39+$E39)</f>
        <v/>
      </c>
      <c r="D39" s="20">
        <f>IF($A39="","",IF($A39=$C$7,$F38,MIN($F38,MAX(0,$C$12-$E39))))</f>
        <v/>
      </c>
      <c r="E39" s="20">
        <f>IF($A39="","",ROUNDDOWN(ROUND($F38*$C$6/12,4),0))</f>
        <v/>
      </c>
      <c r="F39" s="20">
        <f>IF($A39="","",$F38-$D39)</f>
        <v/>
      </c>
    </row>
    <row r="40" ht="17" customHeight="1">
      <c r="A40" s="21">
        <f>IF(20&lt;=$C$7,20,"")</f>
        <v/>
      </c>
      <c r="B40" s="22">
        <f>IF($A40="","",IF($C$8="","",EDATE($C$8,$A40-1)))</f>
        <v/>
      </c>
      <c r="C40" s="23">
        <f>IF($A40="","",$D40+$E40)</f>
        <v/>
      </c>
      <c r="D40" s="23">
        <f>IF($A40="","",IF($A40=$C$7,$F39,MIN($F39,MAX(0,$C$12-$E40))))</f>
        <v/>
      </c>
      <c r="E40" s="23">
        <f>IF($A40="","",ROUNDDOWN(ROUND($F39*$C$6/12,4),0))</f>
        <v/>
      </c>
      <c r="F40" s="23">
        <f>IF($A40="","",$F39-$D40)</f>
        <v/>
      </c>
    </row>
    <row r="41" ht="17" customHeight="1">
      <c r="A41" s="18">
        <f>IF(21&lt;=$C$7,21,"")</f>
        <v/>
      </c>
      <c r="B41" s="19">
        <f>IF($A41="","",IF($C$8="","",EDATE($C$8,$A41-1)))</f>
        <v/>
      </c>
      <c r="C41" s="20">
        <f>IF($A41="","",$D41+$E41)</f>
        <v/>
      </c>
      <c r="D41" s="20">
        <f>IF($A41="","",IF($A41=$C$7,$F40,MIN($F40,MAX(0,$C$12-$E41))))</f>
        <v/>
      </c>
      <c r="E41" s="20">
        <f>IF($A41="","",ROUNDDOWN(ROUND($F40*$C$6/12,4),0))</f>
        <v/>
      </c>
      <c r="F41" s="20">
        <f>IF($A41="","",$F40-$D41)</f>
        <v/>
      </c>
    </row>
    <row r="42" ht="17" customHeight="1">
      <c r="A42" s="21">
        <f>IF(22&lt;=$C$7,22,"")</f>
        <v/>
      </c>
      <c r="B42" s="22">
        <f>IF($A42="","",IF($C$8="","",EDATE($C$8,$A42-1)))</f>
        <v/>
      </c>
      <c r="C42" s="23">
        <f>IF($A42="","",$D42+$E42)</f>
        <v/>
      </c>
      <c r="D42" s="23">
        <f>IF($A42="","",IF($A42=$C$7,$F41,MIN($F41,MAX(0,$C$12-$E42))))</f>
        <v/>
      </c>
      <c r="E42" s="23">
        <f>IF($A42="","",ROUNDDOWN(ROUND($F41*$C$6/12,4),0))</f>
        <v/>
      </c>
      <c r="F42" s="23">
        <f>IF($A42="","",$F41-$D42)</f>
        <v/>
      </c>
    </row>
    <row r="43" ht="17" customHeight="1">
      <c r="A43" s="18">
        <f>IF(23&lt;=$C$7,23,"")</f>
        <v/>
      </c>
      <c r="B43" s="19">
        <f>IF($A43="","",IF($C$8="","",EDATE($C$8,$A43-1)))</f>
        <v/>
      </c>
      <c r="C43" s="20">
        <f>IF($A43="","",$D43+$E43)</f>
        <v/>
      </c>
      <c r="D43" s="20">
        <f>IF($A43="","",IF($A43=$C$7,$F42,MIN($F42,MAX(0,$C$12-$E43))))</f>
        <v/>
      </c>
      <c r="E43" s="20">
        <f>IF($A43="","",ROUNDDOWN(ROUND($F42*$C$6/12,4),0))</f>
        <v/>
      </c>
      <c r="F43" s="20">
        <f>IF($A43="","",$F42-$D43)</f>
        <v/>
      </c>
    </row>
    <row r="44" ht="17" customHeight="1">
      <c r="A44" s="21">
        <f>IF(24&lt;=$C$7,24,"")</f>
        <v/>
      </c>
      <c r="B44" s="22">
        <f>IF($A44="","",IF($C$8="","",EDATE($C$8,$A44-1)))</f>
        <v/>
      </c>
      <c r="C44" s="23">
        <f>IF($A44="","",$D44+$E44)</f>
        <v/>
      </c>
      <c r="D44" s="23">
        <f>IF($A44="","",IF($A44=$C$7,$F43,MIN($F43,MAX(0,$C$12-$E44))))</f>
        <v/>
      </c>
      <c r="E44" s="23">
        <f>IF($A44="","",ROUNDDOWN(ROUND($F43*$C$6/12,4),0))</f>
        <v/>
      </c>
      <c r="F44" s="23">
        <f>IF($A44="","",$F43-$D44)</f>
        <v/>
      </c>
    </row>
    <row r="45" ht="17" customHeight="1">
      <c r="A45" s="18">
        <f>IF(25&lt;=$C$7,25,"")</f>
        <v/>
      </c>
      <c r="B45" s="19">
        <f>IF($A45="","",IF($C$8="","",EDATE($C$8,$A45-1)))</f>
        <v/>
      </c>
      <c r="C45" s="20">
        <f>IF($A45="","",$D45+$E45)</f>
        <v/>
      </c>
      <c r="D45" s="20">
        <f>IF($A45="","",IF($A45=$C$7,$F44,MIN($F44,MAX(0,$C$12-$E45))))</f>
        <v/>
      </c>
      <c r="E45" s="20">
        <f>IF($A45="","",ROUNDDOWN(ROUND($F44*$C$6/12,4),0))</f>
        <v/>
      </c>
      <c r="F45" s="20">
        <f>IF($A45="","",$F44-$D45)</f>
        <v/>
      </c>
    </row>
    <row r="46" ht="17" customHeight="1">
      <c r="A46" s="21">
        <f>IF(26&lt;=$C$7,26,"")</f>
        <v/>
      </c>
      <c r="B46" s="22">
        <f>IF($A46="","",IF($C$8="","",EDATE($C$8,$A46-1)))</f>
        <v/>
      </c>
      <c r="C46" s="23">
        <f>IF($A46="","",$D46+$E46)</f>
        <v/>
      </c>
      <c r="D46" s="23">
        <f>IF($A46="","",IF($A46=$C$7,$F45,MIN($F45,MAX(0,$C$12-$E46))))</f>
        <v/>
      </c>
      <c r="E46" s="23">
        <f>IF($A46="","",ROUNDDOWN(ROUND($F45*$C$6/12,4),0))</f>
        <v/>
      </c>
      <c r="F46" s="23">
        <f>IF($A46="","",$F45-$D46)</f>
        <v/>
      </c>
    </row>
    <row r="47" ht="17" customHeight="1">
      <c r="A47" s="18">
        <f>IF(27&lt;=$C$7,27,"")</f>
        <v/>
      </c>
      <c r="B47" s="19">
        <f>IF($A47="","",IF($C$8="","",EDATE($C$8,$A47-1)))</f>
        <v/>
      </c>
      <c r="C47" s="20">
        <f>IF($A47="","",$D47+$E47)</f>
        <v/>
      </c>
      <c r="D47" s="20">
        <f>IF($A47="","",IF($A47=$C$7,$F46,MIN($F46,MAX(0,$C$12-$E47))))</f>
        <v/>
      </c>
      <c r="E47" s="20">
        <f>IF($A47="","",ROUNDDOWN(ROUND($F46*$C$6/12,4),0))</f>
        <v/>
      </c>
      <c r="F47" s="20">
        <f>IF($A47="","",$F46-$D47)</f>
        <v/>
      </c>
    </row>
    <row r="48" ht="17" customHeight="1">
      <c r="A48" s="21">
        <f>IF(28&lt;=$C$7,28,"")</f>
        <v/>
      </c>
      <c r="B48" s="22">
        <f>IF($A48="","",IF($C$8="","",EDATE($C$8,$A48-1)))</f>
        <v/>
      </c>
      <c r="C48" s="23">
        <f>IF($A48="","",$D48+$E48)</f>
        <v/>
      </c>
      <c r="D48" s="23">
        <f>IF($A48="","",IF($A48=$C$7,$F47,MIN($F47,MAX(0,$C$12-$E48))))</f>
        <v/>
      </c>
      <c r="E48" s="23">
        <f>IF($A48="","",ROUNDDOWN(ROUND($F47*$C$6/12,4),0))</f>
        <v/>
      </c>
      <c r="F48" s="23">
        <f>IF($A48="","",$F47-$D48)</f>
        <v/>
      </c>
    </row>
    <row r="49" ht="17" customHeight="1">
      <c r="A49" s="18">
        <f>IF(29&lt;=$C$7,29,"")</f>
        <v/>
      </c>
      <c r="B49" s="19">
        <f>IF($A49="","",IF($C$8="","",EDATE($C$8,$A49-1)))</f>
        <v/>
      </c>
      <c r="C49" s="20">
        <f>IF($A49="","",$D49+$E49)</f>
        <v/>
      </c>
      <c r="D49" s="20">
        <f>IF($A49="","",IF($A49=$C$7,$F48,MIN($F48,MAX(0,$C$12-$E49))))</f>
        <v/>
      </c>
      <c r="E49" s="20">
        <f>IF($A49="","",ROUNDDOWN(ROUND($F48*$C$6/12,4),0))</f>
        <v/>
      </c>
      <c r="F49" s="20">
        <f>IF($A49="","",$F48-$D49)</f>
        <v/>
      </c>
    </row>
    <row r="50" ht="17" customHeight="1">
      <c r="A50" s="21">
        <f>IF(30&lt;=$C$7,30,"")</f>
        <v/>
      </c>
      <c r="B50" s="22">
        <f>IF($A50="","",IF($C$8="","",EDATE($C$8,$A50-1)))</f>
        <v/>
      </c>
      <c r="C50" s="23">
        <f>IF($A50="","",$D50+$E50)</f>
        <v/>
      </c>
      <c r="D50" s="23">
        <f>IF($A50="","",IF($A50=$C$7,$F49,MIN($F49,MAX(0,$C$12-$E50))))</f>
        <v/>
      </c>
      <c r="E50" s="23">
        <f>IF($A50="","",ROUNDDOWN(ROUND($F49*$C$6/12,4),0))</f>
        <v/>
      </c>
      <c r="F50" s="23">
        <f>IF($A50="","",$F49-$D50)</f>
        <v/>
      </c>
    </row>
    <row r="51" ht="17" customHeight="1">
      <c r="A51" s="18">
        <f>IF(31&lt;=$C$7,31,"")</f>
        <v/>
      </c>
      <c r="B51" s="19">
        <f>IF($A51="","",IF($C$8="","",EDATE($C$8,$A51-1)))</f>
        <v/>
      </c>
      <c r="C51" s="20">
        <f>IF($A51="","",$D51+$E51)</f>
        <v/>
      </c>
      <c r="D51" s="20">
        <f>IF($A51="","",IF($A51=$C$7,$F50,MIN($F50,MAX(0,$C$12-$E51))))</f>
        <v/>
      </c>
      <c r="E51" s="20">
        <f>IF($A51="","",ROUNDDOWN(ROUND($F50*$C$6/12,4),0))</f>
        <v/>
      </c>
      <c r="F51" s="20">
        <f>IF($A51="","",$F50-$D51)</f>
        <v/>
      </c>
    </row>
    <row r="52" ht="17" customHeight="1">
      <c r="A52" s="21">
        <f>IF(32&lt;=$C$7,32,"")</f>
        <v/>
      </c>
      <c r="B52" s="22">
        <f>IF($A52="","",IF($C$8="","",EDATE($C$8,$A52-1)))</f>
        <v/>
      </c>
      <c r="C52" s="23">
        <f>IF($A52="","",$D52+$E52)</f>
        <v/>
      </c>
      <c r="D52" s="23">
        <f>IF($A52="","",IF($A52=$C$7,$F51,MIN($F51,MAX(0,$C$12-$E52))))</f>
        <v/>
      </c>
      <c r="E52" s="23">
        <f>IF($A52="","",ROUNDDOWN(ROUND($F51*$C$6/12,4),0))</f>
        <v/>
      </c>
      <c r="F52" s="23">
        <f>IF($A52="","",$F51-$D52)</f>
        <v/>
      </c>
    </row>
    <row r="53" ht="17" customHeight="1">
      <c r="A53" s="18">
        <f>IF(33&lt;=$C$7,33,"")</f>
        <v/>
      </c>
      <c r="B53" s="19">
        <f>IF($A53="","",IF($C$8="","",EDATE($C$8,$A53-1)))</f>
        <v/>
      </c>
      <c r="C53" s="20">
        <f>IF($A53="","",$D53+$E53)</f>
        <v/>
      </c>
      <c r="D53" s="20">
        <f>IF($A53="","",IF($A53=$C$7,$F52,MIN($F52,MAX(0,$C$12-$E53))))</f>
        <v/>
      </c>
      <c r="E53" s="20">
        <f>IF($A53="","",ROUNDDOWN(ROUND($F52*$C$6/12,4),0))</f>
        <v/>
      </c>
      <c r="F53" s="20">
        <f>IF($A53="","",$F52-$D53)</f>
        <v/>
      </c>
    </row>
    <row r="54" ht="17" customHeight="1">
      <c r="A54" s="21">
        <f>IF(34&lt;=$C$7,34,"")</f>
        <v/>
      </c>
      <c r="B54" s="22">
        <f>IF($A54="","",IF($C$8="","",EDATE($C$8,$A54-1)))</f>
        <v/>
      </c>
      <c r="C54" s="23">
        <f>IF($A54="","",$D54+$E54)</f>
        <v/>
      </c>
      <c r="D54" s="23">
        <f>IF($A54="","",IF($A54=$C$7,$F53,MIN($F53,MAX(0,$C$12-$E54))))</f>
        <v/>
      </c>
      <c r="E54" s="23">
        <f>IF($A54="","",ROUNDDOWN(ROUND($F53*$C$6/12,4),0))</f>
        <v/>
      </c>
      <c r="F54" s="23">
        <f>IF($A54="","",$F53-$D54)</f>
        <v/>
      </c>
    </row>
    <row r="55" ht="17" customHeight="1">
      <c r="A55" s="18">
        <f>IF(35&lt;=$C$7,35,"")</f>
        <v/>
      </c>
      <c r="B55" s="19">
        <f>IF($A55="","",IF($C$8="","",EDATE($C$8,$A55-1)))</f>
        <v/>
      </c>
      <c r="C55" s="20">
        <f>IF($A55="","",$D55+$E55)</f>
        <v/>
      </c>
      <c r="D55" s="20">
        <f>IF($A55="","",IF($A55=$C$7,$F54,MIN($F54,MAX(0,$C$12-$E55))))</f>
        <v/>
      </c>
      <c r="E55" s="20">
        <f>IF($A55="","",ROUNDDOWN(ROUND($F54*$C$6/12,4),0))</f>
        <v/>
      </c>
      <c r="F55" s="20">
        <f>IF($A55="","",$F54-$D55)</f>
        <v/>
      </c>
    </row>
    <row r="56" ht="17" customHeight="1">
      <c r="A56" s="21">
        <f>IF(36&lt;=$C$7,36,"")</f>
        <v/>
      </c>
      <c r="B56" s="22">
        <f>IF($A56="","",IF($C$8="","",EDATE($C$8,$A56-1)))</f>
        <v/>
      </c>
      <c r="C56" s="23">
        <f>IF($A56="","",$D56+$E56)</f>
        <v/>
      </c>
      <c r="D56" s="23">
        <f>IF($A56="","",IF($A56=$C$7,$F55,MIN($F55,MAX(0,$C$12-$E56))))</f>
        <v/>
      </c>
      <c r="E56" s="23">
        <f>IF($A56="","",ROUNDDOWN(ROUND($F55*$C$6/12,4),0))</f>
        <v/>
      </c>
      <c r="F56" s="23">
        <f>IF($A56="","",$F55-$D56)</f>
        <v/>
      </c>
    </row>
    <row r="57" ht="17" customHeight="1">
      <c r="A57" s="18">
        <f>IF(37&lt;=$C$7,37,"")</f>
        <v/>
      </c>
      <c r="B57" s="19">
        <f>IF($A57="","",IF($C$8="","",EDATE($C$8,$A57-1)))</f>
        <v/>
      </c>
      <c r="C57" s="20">
        <f>IF($A57="","",$D57+$E57)</f>
        <v/>
      </c>
      <c r="D57" s="20">
        <f>IF($A57="","",IF($A57=$C$7,$F56,MIN($F56,MAX(0,$C$12-$E57))))</f>
        <v/>
      </c>
      <c r="E57" s="20">
        <f>IF($A57="","",ROUNDDOWN(ROUND($F56*$C$6/12,4),0))</f>
        <v/>
      </c>
      <c r="F57" s="20">
        <f>IF($A57="","",$F56-$D57)</f>
        <v/>
      </c>
    </row>
    <row r="58" ht="17" customHeight="1">
      <c r="A58" s="21">
        <f>IF(38&lt;=$C$7,38,"")</f>
        <v/>
      </c>
      <c r="B58" s="22">
        <f>IF($A58="","",IF($C$8="","",EDATE($C$8,$A58-1)))</f>
        <v/>
      </c>
      <c r="C58" s="23">
        <f>IF($A58="","",$D58+$E58)</f>
        <v/>
      </c>
      <c r="D58" s="23">
        <f>IF($A58="","",IF($A58=$C$7,$F57,MIN($F57,MAX(0,$C$12-$E58))))</f>
        <v/>
      </c>
      <c r="E58" s="23">
        <f>IF($A58="","",ROUNDDOWN(ROUND($F57*$C$6/12,4),0))</f>
        <v/>
      </c>
      <c r="F58" s="23">
        <f>IF($A58="","",$F57-$D58)</f>
        <v/>
      </c>
    </row>
    <row r="59" ht="17" customHeight="1">
      <c r="A59" s="18">
        <f>IF(39&lt;=$C$7,39,"")</f>
        <v/>
      </c>
      <c r="B59" s="19">
        <f>IF($A59="","",IF($C$8="","",EDATE($C$8,$A59-1)))</f>
        <v/>
      </c>
      <c r="C59" s="20">
        <f>IF($A59="","",$D59+$E59)</f>
        <v/>
      </c>
      <c r="D59" s="20">
        <f>IF($A59="","",IF($A59=$C$7,$F58,MIN($F58,MAX(0,$C$12-$E59))))</f>
        <v/>
      </c>
      <c r="E59" s="20">
        <f>IF($A59="","",ROUNDDOWN(ROUND($F58*$C$6/12,4),0))</f>
        <v/>
      </c>
      <c r="F59" s="20">
        <f>IF($A59="","",$F58-$D59)</f>
        <v/>
      </c>
    </row>
    <row r="60" ht="17" customHeight="1">
      <c r="A60" s="21">
        <f>IF(40&lt;=$C$7,40,"")</f>
        <v/>
      </c>
      <c r="B60" s="22">
        <f>IF($A60="","",IF($C$8="","",EDATE($C$8,$A60-1)))</f>
        <v/>
      </c>
      <c r="C60" s="23">
        <f>IF($A60="","",$D60+$E60)</f>
        <v/>
      </c>
      <c r="D60" s="23">
        <f>IF($A60="","",IF($A60=$C$7,$F59,MIN($F59,MAX(0,$C$12-$E60))))</f>
        <v/>
      </c>
      <c r="E60" s="23">
        <f>IF($A60="","",ROUNDDOWN(ROUND($F59*$C$6/12,4),0))</f>
        <v/>
      </c>
      <c r="F60" s="23">
        <f>IF($A60="","",$F59-$D60)</f>
        <v/>
      </c>
    </row>
    <row r="61" ht="17" customHeight="1">
      <c r="A61" s="18">
        <f>IF(41&lt;=$C$7,41,"")</f>
        <v/>
      </c>
      <c r="B61" s="19">
        <f>IF($A61="","",IF($C$8="","",EDATE($C$8,$A61-1)))</f>
        <v/>
      </c>
      <c r="C61" s="20">
        <f>IF($A61="","",$D61+$E61)</f>
        <v/>
      </c>
      <c r="D61" s="20">
        <f>IF($A61="","",IF($A61=$C$7,$F60,MIN($F60,MAX(0,$C$12-$E61))))</f>
        <v/>
      </c>
      <c r="E61" s="20">
        <f>IF($A61="","",ROUNDDOWN(ROUND($F60*$C$6/12,4),0))</f>
        <v/>
      </c>
      <c r="F61" s="20">
        <f>IF($A61="","",$F60-$D61)</f>
        <v/>
      </c>
    </row>
    <row r="62" ht="17" customHeight="1">
      <c r="A62" s="21">
        <f>IF(42&lt;=$C$7,42,"")</f>
        <v/>
      </c>
      <c r="B62" s="22">
        <f>IF($A62="","",IF($C$8="","",EDATE($C$8,$A62-1)))</f>
        <v/>
      </c>
      <c r="C62" s="23">
        <f>IF($A62="","",$D62+$E62)</f>
        <v/>
      </c>
      <c r="D62" s="23">
        <f>IF($A62="","",IF($A62=$C$7,$F61,MIN($F61,MAX(0,$C$12-$E62))))</f>
        <v/>
      </c>
      <c r="E62" s="23">
        <f>IF($A62="","",ROUNDDOWN(ROUND($F61*$C$6/12,4),0))</f>
        <v/>
      </c>
      <c r="F62" s="23">
        <f>IF($A62="","",$F61-$D62)</f>
        <v/>
      </c>
    </row>
    <row r="63" ht="17" customHeight="1">
      <c r="A63" s="18">
        <f>IF(43&lt;=$C$7,43,"")</f>
        <v/>
      </c>
      <c r="B63" s="19">
        <f>IF($A63="","",IF($C$8="","",EDATE($C$8,$A63-1)))</f>
        <v/>
      </c>
      <c r="C63" s="20">
        <f>IF($A63="","",$D63+$E63)</f>
        <v/>
      </c>
      <c r="D63" s="20">
        <f>IF($A63="","",IF($A63=$C$7,$F62,MIN($F62,MAX(0,$C$12-$E63))))</f>
        <v/>
      </c>
      <c r="E63" s="20">
        <f>IF($A63="","",ROUNDDOWN(ROUND($F62*$C$6/12,4),0))</f>
        <v/>
      </c>
      <c r="F63" s="20">
        <f>IF($A63="","",$F62-$D63)</f>
        <v/>
      </c>
    </row>
    <row r="64" ht="17" customHeight="1">
      <c r="A64" s="21">
        <f>IF(44&lt;=$C$7,44,"")</f>
        <v/>
      </c>
      <c r="B64" s="22">
        <f>IF($A64="","",IF($C$8="","",EDATE($C$8,$A64-1)))</f>
        <v/>
      </c>
      <c r="C64" s="23">
        <f>IF($A64="","",$D64+$E64)</f>
        <v/>
      </c>
      <c r="D64" s="23">
        <f>IF($A64="","",IF($A64=$C$7,$F63,MIN($F63,MAX(0,$C$12-$E64))))</f>
        <v/>
      </c>
      <c r="E64" s="23">
        <f>IF($A64="","",ROUNDDOWN(ROUND($F63*$C$6/12,4),0))</f>
        <v/>
      </c>
      <c r="F64" s="23">
        <f>IF($A64="","",$F63-$D64)</f>
        <v/>
      </c>
    </row>
    <row r="65" ht="17" customHeight="1">
      <c r="A65" s="18">
        <f>IF(45&lt;=$C$7,45,"")</f>
        <v/>
      </c>
      <c r="B65" s="19">
        <f>IF($A65="","",IF($C$8="","",EDATE($C$8,$A65-1)))</f>
        <v/>
      </c>
      <c r="C65" s="20">
        <f>IF($A65="","",$D65+$E65)</f>
        <v/>
      </c>
      <c r="D65" s="20">
        <f>IF($A65="","",IF($A65=$C$7,$F64,MIN($F64,MAX(0,$C$12-$E65))))</f>
        <v/>
      </c>
      <c r="E65" s="20">
        <f>IF($A65="","",ROUNDDOWN(ROUND($F64*$C$6/12,4),0))</f>
        <v/>
      </c>
      <c r="F65" s="20">
        <f>IF($A65="","",$F64-$D65)</f>
        <v/>
      </c>
    </row>
    <row r="66" ht="17" customHeight="1">
      <c r="A66" s="21">
        <f>IF(46&lt;=$C$7,46,"")</f>
        <v/>
      </c>
      <c r="B66" s="22">
        <f>IF($A66="","",IF($C$8="","",EDATE($C$8,$A66-1)))</f>
        <v/>
      </c>
      <c r="C66" s="23">
        <f>IF($A66="","",$D66+$E66)</f>
        <v/>
      </c>
      <c r="D66" s="23">
        <f>IF($A66="","",IF($A66=$C$7,$F65,MIN($F65,MAX(0,$C$12-$E66))))</f>
        <v/>
      </c>
      <c r="E66" s="23">
        <f>IF($A66="","",ROUNDDOWN(ROUND($F65*$C$6/12,4),0))</f>
        <v/>
      </c>
      <c r="F66" s="23">
        <f>IF($A66="","",$F65-$D66)</f>
        <v/>
      </c>
    </row>
    <row r="67" ht="17" customHeight="1">
      <c r="A67" s="18">
        <f>IF(47&lt;=$C$7,47,"")</f>
        <v/>
      </c>
      <c r="B67" s="19">
        <f>IF($A67="","",IF($C$8="","",EDATE($C$8,$A67-1)))</f>
        <v/>
      </c>
      <c r="C67" s="20">
        <f>IF($A67="","",$D67+$E67)</f>
        <v/>
      </c>
      <c r="D67" s="20">
        <f>IF($A67="","",IF($A67=$C$7,$F66,MIN($F66,MAX(0,$C$12-$E67))))</f>
        <v/>
      </c>
      <c r="E67" s="20">
        <f>IF($A67="","",ROUNDDOWN(ROUND($F66*$C$6/12,4),0))</f>
        <v/>
      </c>
      <c r="F67" s="20">
        <f>IF($A67="","",$F66-$D67)</f>
        <v/>
      </c>
    </row>
    <row r="68" ht="17" customHeight="1">
      <c r="A68" s="21">
        <f>IF(48&lt;=$C$7,48,"")</f>
        <v/>
      </c>
      <c r="B68" s="22">
        <f>IF($A68="","",IF($C$8="","",EDATE($C$8,$A68-1)))</f>
        <v/>
      </c>
      <c r="C68" s="23">
        <f>IF($A68="","",$D68+$E68)</f>
        <v/>
      </c>
      <c r="D68" s="23">
        <f>IF($A68="","",IF($A68=$C$7,$F67,MIN($F67,MAX(0,$C$12-$E68))))</f>
        <v/>
      </c>
      <c r="E68" s="23">
        <f>IF($A68="","",ROUNDDOWN(ROUND($F67*$C$6/12,4),0))</f>
        <v/>
      </c>
      <c r="F68" s="23">
        <f>IF($A68="","",$F67-$D68)</f>
        <v/>
      </c>
    </row>
    <row r="69" ht="17" customHeight="1">
      <c r="A69" s="18">
        <f>IF(49&lt;=$C$7,49,"")</f>
        <v/>
      </c>
      <c r="B69" s="19">
        <f>IF($A69="","",IF($C$8="","",EDATE($C$8,$A69-1)))</f>
        <v/>
      </c>
      <c r="C69" s="20">
        <f>IF($A69="","",$D69+$E69)</f>
        <v/>
      </c>
      <c r="D69" s="20">
        <f>IF($A69="","",IF($A69=$C$7,$F68,MIN($F68,MAX(0,$C$12-$E69))))</f>
        <v/>
      </c>
      <c r="E69" s="20">
        <f>IF($A69="","",ROUNDDOWN(ROUND($F68*$C$6/12,4),0))</f>
        <v/>
      </c>
      <c r="F69" s="20">
        <f>IF($A69="","",$F68-$D69)</f>
        <v/>
      </c>
    </row>
    <row r="70" ht="17" customHeight="1">
      <c r="A70" s="21">
        <f>IF(50&lt;=$C$7,50,"")</f>
        <v/>
      </c>
      <c r="B70" s="22">
        <f>IF($A70="","",IF($C$8="","",EDATE($C$8,$A70-1)))</f>
        <v/>
      </c>
      <c r="C70" s="23">
        <f>IF($A70="","",$D70+$E70)</f>
        <v/>
      </c>
      <c r="D70" s="23">
        <f>IF($A70="","",IF($A70=$C$7,$F69,MIN($F69,MAX(0,$C$12-$E70))))</f>
        <v/>
      </c>
      <c r="E70" s="23">
        <f>IF($A70="","",ROUNDDOWN(ROUND($F69*$C$6/12,4),0))</f>
        <v/>
      </c>
      <c r="F70" s="23">
        <f>IF($A70="","",$F69-$D70)</f>
        <v/>
      </c>
    </row>
    <row r="71" ht="17" customHeight="1">
      <c r="A71" s="18">
        <f>IF(51&lt;=$C$7,51,"")</f>
        <v/>
      </c>
      <c r="B71" s="19">
        <f>IF($A71="","",IF($C$8="","",EDATE($C$8,$A71-1)))</f>
        <v/>
      </c>
      <c r="C71" s="20">
        <f>IF($A71="","",$D71+$E71)</f>
        <v/>
      </c>
      <c r="D71" s="20">
        <f>IF($A71="","",IF($A71=$C$7,$F70,MIN($F70,MAX(0,$C$12-$E71))))</f>
        <v/>
      </c>
      <c r="E71" s="20">
        <f>IF($A71="","",ROUNDDOWN(ROUND($F70*$C$6/12,4),0))</f>
        <v/>
      </c>
      <c r="F71" s="20">
        <f>IF($A71="","",$F70-$D71)</f>
        <v/>
      </c>
    </row>
    <row r="72" ht="17" customHeight="1">
      <c r="A72" s="21">
        <f>IF(52&lt;=$C$7,52,"")</f>
        <v/>
      </c>
      <c r="B72" s="22">
        <f>IF($A72="","",IF($C$8="","",EDATE($C$8,$A72-1)))</f>
        <v/>
      </c>
      <c r="C72" s="23">
        <f>IF($A72="","",$D72+$E72)</f>
        <v/>
      </c>
      <c r="D72" s="23">
        <f>IF($A72="","",IF($A72=$C$7,$F71,MIN($F71,MAX(0,$C$12-$E72))))</f>
        <v/>
      </c>
      <c r="E72" s="23">
        <f>IF($A72="","",ROUNDDOWN(ROUND($F71*$C$6/12,4),0))</f>
        <v/>
      </c>
      <c r="F72" s="23">
        <f>IF($A72="","",$F71-$D72)</f>
        <v/>
      </c>
    </row>
    <row r="73" ht="17" customHeight="1">
      <c r="A73" s="18">
        <f>IF(53&lt;=$C$7,53,"")</f>
        <v/>
      </c>
      <c r="B73" s="19">
        <f>IF($A73="","",IF($C$8="","",EDATE($C$8,$A73-1)))</f>
        <v/>
      </c>
      <c r="C73" s="20">
        <f>IF($A73="","",$D73+$E73)</f>
        <v/>
      </c>
      <c r="D73" s="20">
        <f>IF($A73="","",IF($A73=$C$7,$F72,MIN($F72,MAX(0,$C$12-$E73))))</f>
        <v/>
      </c>
      <c r="E73" s="20">
        <f>IF($A73="","",ROUNDDOWN(ROUND($F72*$C$6/12,4),0))</f>
        <v/>
      </c>
      <c r="F73" s="20">
        <f>IF($A73="","",$F72-$D73)</f>
        <v/>
      </c>
    </row>
    <row r="74" ht="17" customHeight="1">
      <c r="A74" s="21">
        <f>IF(54&lt;=$C$7,54,"")</f>
        <v/>
      </c>
      <c r="B74" s="22">
        <f>IF($A74="","",IF($C$8="","",EDATE($C$8,$A74-1)))</f>
        <v/>
      </c>
      <c r="C74" s="23">
        <f>IF($A74="","",$D74+$E74)</f>
        <v/>
      </c>
      <c r="D74" s="23">
        <f>IF($A74="","",IF($A74=$C$7,$F73,MIN($F73,MAX(0,$C$12-$E74))))</f>
        <v/>
      </c>
      <c r="E74" s="23">
        <f>IF($A74="","",ROUNDDOWN(ROUND($F73*$C$6/12,4),0))</f>
        <v/>
      </c>
      <c r="F74" s="23">
        <f>IF($A74="","",$F73-$D74)</f>
        <v/>
      </c>
    </row>
    <row r="75" ht="17" customHeight="1">
      <c r="A75" s="18">
        <f>IF(55&lt;=$C$7,55,"")</f>
        <v/>
      </c>
      <c r="B75" s="19">
        <f>IF($A75="","",IF($C$8="","",EDATE($C$8,$A75-1)))</f>
        <v/>
      </c>
      <c r="C75" s="20">
        <f>IF($A75="","",$D75+$E75)</f>
        <v/>
      </c>
      <c r="D75" s="20">
        <f>IF($A75="","",IF($A75=$C$7,$F74,MIN($F74,MAX(0,$C$12-$E75))))</f>
        <v/>
      </c>
      <c r="E75" s="20">
        <f>IF($A75="","",ROUNDDOWN(ROUND($F74*$C$6/12,4),0))</f>
        <v/>
      </c>
      <c r="F75" s="20">
        <f>IF($A75="","",$F74-$D75)</f>
        <v/>
      </c>
    </row>
    <row r="76" ht="17" customHeight="1">
      <c r="A76" s="21">
        <f>IF(56&lt;=$C$7,56,"")</f>
        <v/>
      </c>
      <c r="B76" s="22">
        <f>IF($A76="","",IF($C$8="","",EDATE($C$8,$A76-1)))</f>
        <v/>
      </c>
      <c r="C76" s="23">
        <f>IF($A76="","",$D76+$E76)</f>
        <v/>
      </c>
      <c r="D76" s="23">
        <f>IF($A76="","",IF($A76=$C$7,$F75,MIN($F75,MAX(0,$C$12-$E76))))</f>
        <v/>
      </c>
      <c r="E76" s="23">
        <f>IF($A76="","",ROUNDDOWN(ROUND($F75*$C$6/12,4),0))</f>
        <v/>
      </c>
      <c r="F76" s="23">
        <f>IF($A76="","",$F75-$D76)</f>
        <v/>
      </c>
    </row>
    <row r="77" ht="17" customHeight="1">
      <c r="A77" s="18">
        <f>IF(57&lt;=$C$7,57,"")</f>
        <v/>
      </c>
      <c r="B77" s="19">
        <f>IF($A77="","",IF($C$8="","",EDATE($C$8,$A77-1)))</f>
        <v/>
      </c>
      <c r="C77" s="20">
        <f>IF($A77="","",$D77+$E77)</f>
        <v/>
      </c>
      <c r="D77" s="20">
        <f>IF($A77="","",IF($A77=$C$7,$F76,MIN($F76,MAX(0,$C$12-$E77))))</f>
        <v/>
      </c>
      <c r="E77" s="20">
        <f>IF($A77="","",ROUNDDOWN(ROUND($F76*$C$6/12,4),0))</f>
        <v/>
      </c>
      <c r="F77" s="20">
        <f>IF($A77="","",$F76-$D77)</f>
        <v/>
      </c>
    </row>
    <row r="78" ht="17" customHeight="1">
      <c r="A78" s="21">
        <f>IF(58&lt;=$C$7,58,"")</f>
        <v/>
      </c>
      <c r="B78" s="22">
        <f>IF($A78="","",IF($C$8="","",EDATE($C$8,$A78-1)))</f>
        <v/>
      </c>
      <c r="C78" s="23">
        <f>IF($A78="","",$D78+$E78)</f>
        <v/>
      </c>
      <c r="D78" s="23">
        <f>IF($A78="","",IF($A78=$C$7,$F77,MIN($F77,MAX(0,$C$12-$E78))))</f>
        <v/>
      </c>
      <c r="E78" s="23">
        <f>IF($A78="","",ROUNDDOWN(ROUND($F77*$C$6/12,4),0))</f>
        <v/>
      </c>
      <c r="F78" s="23">
        <f>IF($A78="","",$F77-$D78)</f>
        <v/>
      </c>
    </row>
    <row r="79" ht="17" customHeight="1">
      <c r="A79" s="18">
        <f>IF(59&lt;=$C$7,59,"")</f>
        <v/>
      </c>
      <c r="B79" s="19">
        <f>IF($A79="","",IF($C$8="","",EDATE($C$8,$A79-1)))</f>
        <v/>
      </c>
      <c r="C79" s="20">
        <f>IF($A79="","",$D79+$E79)</f>
        <v/>
      </c>
      <c r="D79" s="20">
        <f>IF($A79="","",IF($A79=$C$7,$F78,MIN($F78,MAX(0,$C$12-$E79))))</f>
        <v/>
      </c>
      <c r="E79" s="20">
        <f>IF($A79="","",ROUNDDOWN(ROUND($F78*$C$6/12,4),0))</f>
        <v/>
      </c>
      <c r="F79" s="20">
        <f>IF($A79="","",$F78-$D79)</f>
        <v/>
      </c>
    </row>
    <row r="80" ht="17" customHeight="1">
      <c r="A80" s="21">
        <f>IF(60&lt;=$C$7,60,"")</f>
        <v/>
      </c>
      <c r="B80" s="22">
        <f>IF($A80="","",IF($C$8="","",EDATE($C$8,$A80-1)))</f>
        <v/>
      </c>
      <c r="C80" s="23">
        <f>IF($A80="","",$D80+$E80)</f>
        <v/>
      </c>
      <c r="D80" s="23">
        <f>IF($A80="","",IF($A80=$C$7,$F79,MIN($F79,MAX(0,$C$12-$E80))))</f>
        <v/>
      </c>
      <c r="E80" s="23">
        <f>IF($A80="","",ROUNDDOWN(ROUND($F79*$C$6/12,4),0))</f>
        <v/>
      </c>
      <c r="F80" s="23">
        <f>IF($A80="","",$F79-$D80)</f>
        <v/>
      </c>
    </row>
    <row r="81" ht="17" customHeight="1">
      <c r="A81" s="18">
        <f>IF(61&lt;=$C$7,61,"")</f>
        <v/>
      </c>
      <c r="B81" s="19">
        <f>IF($A81="","",IF($C$8="","",EDATE($C$8,$A81-1)))</f>
        <v/>
      </c>
      <c r="C81" s="20">
        <f>IF($A81="","",$D81+$E81)</f>
        <v/>
      </c>
      <c r="D81" s="20">
        <f>IF($A81="","",IF($A81=$C$7,$F80,MIN($F80,MAX(0,$C$12-$E81))))</f>
        <v/>
      </c>
      <c r="E81" s="20">
        <f>IF($A81="","",ROUNDDOWN(ROUND($F80*$C$6/12,4),0))</f>
        <v/>
      </c>
      <c r="F81" s="20">
        <f>IF($A81="","",$F80-$D81)</f>
        <v/>
      </c>
    </row>
    <row r="82" ht="17" customHeight="1">
      <c r="A82" s="21">
        <f>IF(62&lt;=$C$7,62,"")</f>
        <v/>
      </c>
      <c r="B82" s="22">
        <f>IF($A82="","",IF($C$8="","",EDATE($C$8,$A82-1)))</f>
        <v/>
      </c>
      <c r="C82" s="23">
        <f>IF($A82="","",$D82+$E82)</f>
        <v/>
      </c>
      <c r="D82" s="23">
        <f>IF($A82="","",IF($A82=$C$7,$F81,MIN($F81,MAX(0,$C$12-$E82))))</f>
        <v/>
      </c>
      <c r="E82" s="23">
        <f>IF($A82="","",ROUNDDOWN(ROUND($F81*$C$6/12,4),0))</f>
        <v/>
      </c>
      <c r="F82" s="23">
        <f>IF($A82="","",$F81-$D82)</f>
        <v/>
      </c>
    </row>
    <row r="83" ht="17" customHeight="1">
      <c r="A83" s="18">
        <f>IF(63&lt;=$C$7,63,"")</f>
        <v/>
      </c>
      <c r="B83" s="19">
        <f>IF($A83="","",IF($C$8="","",EDATE($C$8,$A83-1)))</f>
        <v/>
      </c>
      <c r="C83" s="20">
        <f>IF($A83="","",$D83+$E83)</f>
        <v/>
      </c>
      <c r="D83" s="20">
        <f>IF($A83="","",IF($A83=$C$7,$F82,MIN($F82,MAX(0,$C$12-$E83))))</f>
        <v/>
      </c>
      <c r="E83" s="20">
        <f>IF($A83="","",ROUNDDOWN(ROUND($F82*$C$6/12,4),0))</f>
        <v/>
      </c>
      <c r="F83" s="20">
        <f>IF($A83="","",$F82-$D83)</f>
        <v/>
      </c>
    </row>
    <row r="84" ht="17" customHeight="1">
      <c r="A84" s="21">
        <f>IF(64&lt;=$C$7,64,"")</f>
        <v/>
      </c>
      <c r="B84" s="22">
        <f>IF($A84="","",IF($C$8="","",EDATE($C$8,$A84-1)))</f>
        <v/>
      </c>
      <c r="C84" s="23">
        <f>IF($A84="","",$D84+$E84)</f>
        <v/>
      </c>
      <c r="D84" s="23">
        <f>IF($A84="","",IF($A84=$C$7,$F83,MIN($F83,MAX(0,$C$12-$E84))))</f>
        <v/>
      </c>
      <c r="E84" s="23">
        <f>IF($A84="","",ROUNDDOWN(ROUND($F83*$C$6/12,4),0))</f>
        <v/>
      </c>
      <c r="F84" s="23">
        <f>IF($A84="","",$F83-$D84)</f>
        <v/>
      </c>
    </row>
    <row r="85" ht="17" customHeight="1">
      <c r="A85" s="18">
        <f>IF(65&lt;=$C$7,65,"")</f>
        <v/>
      </c>
      <c r="B85" s="19">
        <f>IF($A85="","",IF($C$8="","",EDATE($C$8,$A85-1)))</f>
        <v/>
      </c>
      <c r="C85" s="20">
        <f>IF($A85="","",$D85+$E85)</f>
        <v/>
      </c>
      <c r="D85" s="20">
        <f>IF($A85="","",IF($A85=$C$7,$F84,MIN($F84,MAX(0,$C$12-$E85))))</f>
        <v/>
      </c>
      <c r="E85" s="20">
        <f>IF($A85="","",ROUNDDOWN(ROUND($F84*$C$6/12,4),0))</f>
        <v/>
      </c>
      <c r="F85" s="20">
        <f>IF($A85="","",$F84-$D85)</f>
        <v/>
      </c>
    </row>
    <row r="86" ht="17" customHeight="1">
      <c r="A86" s="21">
        <f>IF(66&lt;=$C$7,66,"")</f>
        <v/>
      </c>
      <c r="B86" s="22">
        <f>IF($A86="","",IF($C$8="","",EDATE($C$8,$A86-1)))</f>
        <v/>
      </c>
      <c r="C86" s="23">
        <f>IF($A86="","",$D86+$E86)</f>
        <v/>
      </c>
      <c r="D86" s="23">
        <f>IF($A86="","",IF($A86=$C$7,$F85,MIN($F85,MAX(0,$C$12-$E86))))</f>
        <v/>
      </c>
      <c r="E86" s="23">
        <f>IF($A86="","",ROUNDDOWN(ROUND($F85*$C$6/12,4),0))</f>
        <v/>
      </c>
      <c r="F86" s="23">
        <f>IF($A86="","",$F85-$D86)</f>
        <v/>
      </c>
    </row>
    <row r="87" ht="17" customHeight="1">
      <c r="A87" s="18">
        <f>IF(67&lt;=$C$7,67,"")</f>
        <v/>
      </c>
      <c r="B87" s="19">
        <f>IF($A87="","",IF($C$8="","",EDATE($C$8,$A87-1)))</f>
        <v/>
      </c>
      <c r="C87" s="20">
        <f>IF($A87="","",$D87+$E87)</f>
        <v/>
      </c>
      <c r="D87" s="20">
        <f>IF($A87="","",IF($A87=$C$7,$F86,MIN($F86,MAX(0,$C$12-$E87))))</f>
        <v/>
      </c>
      <c r="E87" s="20">
        <f>IF($A87="","",ROUNDDOWN(ROUND($F86*$C$6/12,4),0))</f>
        <v/>
      </c>
      <c r="F87" s="20">
        <f>IF($A87="","",$F86-$D87)</f>
        <v/>
      </c>
    </row>
    <row r="88" ht="17" customHeight="1">
      <c r="A88" s="21">
        <f>IF(68&lt;=$C$7,68,"")</f>
        <v/>
      </c>
      <c r="B88" s="22">
        <f>IF($A88="","",IF($C$8="","",EDATE($C$8,$A88-1)))</f>
        <v/>
      </c>
      <c r="C88" s="23">
        <f>IF($A88="","",$D88+$E88)</f>
        <v/>
      </c>
      <c r="D88" s="23">
        <f>IF($A88="","",IF($A88=$C$7,$F87,MIN($F87,MAX(0,$C$12-$E88))))</f>
        <v/>
      </c>
      <c r="E88" s="23">
        <f>IF($A88="","",ROUNDDOWN(ROUND($F87*$C$6/12,4),0))</f>
        <v/>
      </c>
      <c r="F88" s="23">
        <f>IF($A88="","",$F87-$D88)</f>
        <v/>
      </c>
    </row>
    <row r="89" ht="17" customHeight="1">
      <c r="A89" s="18">
        <f>IF(69&lt;=$C$7,69,"")</f>
        <v/>
      </c>
      <c r="B89" s="19">
        <f>IF($A89="","",IF($C$8="","",EDATE($C$8,$A89-1)))</f>
        <v/>
      </c>
      <c r="C89" s="20">
        <f>IF($A89="","",$D89+$E89)</f>
        <v/>
      </c>
      <c r="D89" s="20">
        <f>IF($A89="","",IF($A89=$C$7,$F88,MIN($F88,MAX(0,$C$12-$E89))))</f>
        <v/>
      </c>
      <c r="E89" s="20">
        <f>IF($A89="","",ROUNDDOWN(ROUND($F88*$C$6/12,4),0))</f>
        <v/>
      </c>
      <c r="F89" s="20">
        <f>IF($A89="","",$F88-$D89)</f>
        <v/>
      </c>
    </row>
    <row r="90" ht="17" customHeight="1">
      <c r="A90" s="21">
        <f>IF(70&lt;=$C$7,70,"")</f>
        <v/>
      </c>
      <c r="B90" s="22">
        <f>IF($A90="","",IF($C$8="","",EDATE($C$8,$A90-1)))</f>
        <v/>
      </c>
      <c r="C90" s="23">
        <f>IF($A90="","",$D90+$E90)</f>
        <v/>
      </c>
      <c r="D90" s="23">
        <f>IF($A90="","",IF($A90=$C$7,$F89,MIN($F89,MAX(0,$C$12-$E90))))</f>
        <v/>
      </c>
      <c r="E90" s="23">
        <f>IF($A90="","",ROUNDDOWN(ROUND($F89*$C$6/12,4),0))</f>
        <v/>
      </c>
      <c r="F90" s="23">
        <f>IF($A90="","",$F89-$D90)</f>
        <v/>
      </c>
    </row>
    <row r="91" ht="17" customHeight="1">
      <c r="A91" s="18">
        <f>IF(71&lt;=$C$7,71,"")</f>
        <v/>
      </c>
      <c r="B91" s="19">
        <f>IF($A91="","",IF($C$8="","",EDATE($C$8,$A91-1)))</f>
        <v/>
      </c>
      <c r="C91" s="20">
        <f>IF($A91="","",$D91+$E91)</f>
        <v/>
      </c>
      <c r="D91" s="20">
        <f>IF($A91="","",IF($A91=$C$7,$F90,MIN($F90,MAX(0,$C$12-$E91))))</f>
        <v/>
      </c>
      <c r="E91" s="20">
        <f>IF($A91="","",ROUNDDOWN(ROUND($F90*$C$6/12,4),0))</f>
        <v/>
      </c>
      <c r="F91" s="20">
        <f>IF($A91="","",$F90-$D91)</f>
        <v/>
      </c>
    </row>
    <row r="92" ht="17" customHeight="1">
      <c r="A92" s="21">
        <f>IF(72&lt;=$C$7,72,"")</f>
        <v/>
      </c>
      <c r="B92" s="22">
        <f>IF($A92="","",IF($C$8="","",EDATE($C$8,$A92-1)))</f>
        <v/>
      </c>
      <c r="C92" s="23">
        <f>IF($A92="","",$D92+$E92)</f>
        <v/>
      </c>
      <c r="D92" s="23">
        <f>IF($A92="","",IF($A92=$C$7,$F91,MIN($F91,MAX(0,$C$12-$E92))))</f>
        <v/>
      </c>
      <c r="E92" s="23">
        <f>IF($A92="","",ROUNDDOWN(ROUND($F91*$C$6/12,4),0))</f>
        <v/>
      </c>
      <c r="F92" s="23">
        <f>IF($A92="","",$F91-$D92)</f>
        <v/>
      </c>
    </row>
    <row r="93" ht="17" customHeight="1">
      <c r="A93" s="18">
        <f>IF(73&lt;=$C$7,73,"")</f>
        <v/>
      </c>
      <c r="B93" s="19">
        <f>IF($A93="","",IF($C$8="","",EDATE($C$8,$A93-1)))</f>
        <v/>
      </c>
      <c r="C93" s="20">
        <f>IF($A93="","",$D93+$E93)</f>
        <v/>
      </c>
      <c r="D93" s="20">
        <f>IF($A93="","",IF($A93=$C$7,$F92,MIN($F92,MAX(0,$C$12-$E93))))</f>
        <v/>
      </c>
      <c r="E93" s="20">
        <f>IF($A93="","",ROUNDDOWN(ROUND($F92*$C$6/12,4),0))</f>
        <v/>
      </c>
      <c r="F93" s="20">
        <f>IF($A93="","",$F92-$D93)</f>
        <v/>
      </c>
    </row>
    <row r="94" ht="17" customHeight="1">
      <c r="A94" s="21">
        <f>IF(74&lt;=$C$7,74,"")</f>
        <v/>
      </c>
      <c r="B94" s="22">
        <f>IF($A94="","",IF($C$8="","",EDATE($C$8,$A94-1)))</f>
        <v/>
      </c>
      <c r="C94" s="23">
        <f>IF($A94="","",$D94+$E94)</f>
        <v/>
      </c>
      <c r="D94" s="23">
        <f>IF($A94="","",IF($A94=$C$7,$F93,MIN($F93,MAX(0,$C$12-$E94))))</f>
        <v/>
      </c>
      <c r="E94" s="23">
        <f>IF($A94="","",ROUNDDOWN(ROUND($F93*$C$6/12,4),0))</f>
        <v/>
      </c>
      <c r="F94" s="23">
        <f>IF($A94="","",$F93-$D94)</f>
        <v/>
      </c>
    </row>
    <row r="95" ht="17" customHeight="1">
      <c r="A95" s="18">
        <f>IF(75&lt;=$C$7,75,"")</f>
        <v/>
      </c>
      <c r="B95" s="19">
        <f>IF($A95="","",IF($C$8="","",EDATE($C$8,$A95-1)))</f>
        <v/>
      </c>
      <c r="C95" s="20">
        <f>IF($A95="","",$D95+$E95)</f>
        <v/>
      </c>
      <c r="D95" s="20">
        <f>IF($A95="","",IF($A95=$C$7,$F94,MIN($F94,MAX(0,$C$12-$E95))))</f>
        <v/>
      </c>
      <c r="E95" s="20">
        <f>IF($A95="","",ROUNDDOWN(ROUND($F94*$C$6/12,4),0))</f>
        <v/>
      </c>
      <c r="F95" s="20">
        <f>IF($A95="","",$F94-$D95)</f>
        <v/>
      </c>
    </row>
    <row r="96" ht="17" customHeight="1">
      <c r="A96" s="21">
        <f>IF(76&lt;=$C$7,76,"")</f>
        <v/>
      </c>
      <c r="B96" s="22">
        <f>IF($A96="","",IF($C$8="","",EDATE($C$8,$A96-1)))</f>
        <v/>
      </c>
      <c r="C96" s="23">
        <f>IF($A96="","",$D96+$E96)</f>
        <v/>
      </c>
      <c r="D96" s="23">
        <f>IF($A96="","",IF($A96=$C$7,$F95,MIN($F95,MAX(0,$C$12-$E96))))</f>
        <v/>
      </c>
      <c r="E96" s="23">
        <f>IF($A96="","",ROUNDDOWN(ROUND($F95*$C$6/12,4),0))</f>
        <v/>
      </c>
      <c r="F96" s="23">
        <f>IF($A96="","",$F95-$D96)</f>
        <v/>
      </c>
    </row>
    <row r="97" ht="17" customHeight="1">
      <c r="A97" s="18">
        <f>IF(77&lt;=$C$7,77,"")</f>
        <v/>
      </c>
      <c r="B97" s="19">
        <f>IF($A97="","",IF($C$8="","",EDATE($C$8,$A97-1)))</f>
        <v/>
      </c>
      <c r="C97" s="20">
        <f>IF($A97="","",$D97+$E97)</f>
        <v/>
      </c>
      <c r="D97" s="20">
        <f>IF($A97="","",IF($A97=$C$7,$F96,MIN($F96,MAX(0,$C$12-$E97))))</f>
        <v/>
      </c>
      <c r="E97" s="20">
        <f>IF($A97="","",ROUNDDOWN(ROUND($F96*$C$6/12,4),0))</f>
        <v/>
      </c>
      <c r="F97" s="20">
        <f>IF($A97="","",$F96-$D97)</f>
        <v/>
      </c>
    </row>
    <row r="98" ht="17" customHeight="1">
      <c r="A98" s="21">
        <f>IF(78&lt;=$C$7,78,"")</f>
        <v/>
      </c>
      <c r="B98" s="22">
        <f>IF($A98="","",IF($C$8="","",EDATE($C$8,$A98-1)))</f>
        <v/>
      </c>
      <c r="C98" s="23">
        <f>IF($A98="","",$D98+$E98)</f>
        <v/>
      </c>
      <c r="D98" s="23">
        <f>IF($A98="","",IF($A98=$C$7,$F97,MIN($F97,MAX(0,$C$12-$E98))))</f>
        <v/>
      </c>
      <c r="E98" s="23">
        <f>IF($A98="","",ROUNDDOWN(ROUND($F97*$C$6/12,4),0))</f>
        <v/>
      </c>
      <c r="F98" s="23">
        <f>IF($A98="","",$F97-$D98)</f>
        <v/>
      </c>
    </row>
    <row r="99" ht="17" customHeight="1">
      <c r="A99" s="18">
        <f>IF(79&lt;=$C$7,79,"")</f>
        <v/>
      </c>
      <c r="B99" s="19">
        <f>IF($A99="","",IF($C$8="","",EDATE($C$8,$A99-1)))</f>
        <v/>
      </c>
      <c r="C99" s="20">
        <f>IF($A99="","",$D99+$E99)</f>
        <v/>
      </c>
      <c r="D99" s="20">
        <f>IF($A99="","",IF($A99=$C$7,$F98,MIN($F98,MAX(0,$C$12-$E99))))</f>
        <v/>
      </c>
      <c r="E99" s="20">
        <f>IF($A99="","",ROUNDDOWN(ROUND($F98*$C$6/12,4),0))</f>
        <v/>
      </c>
      <c r="F99" s="20">
        <f>IF($A99="","",$F98-$D99)</f>
        <v/>
      </c>
    </row>
    <row r="100" ht="17" customHeight="1">
      <c r="A100" s="21">
        <f>IF(80&lt;=$C$7,80,"")</f>
        <v/>
      </c>
      <c r="B100" s="22">
        <f>IF($A100="","",IF($C$8="","",EDATE($C$8,$A100-1)))</f>
        <v/>
      </c>
      <c r="C100" s="23">
        <f>IF($A100="","",$D100+$E100)</f>
        <v/>
      </c>
      <c r="D100" s="23">
        <f>IF($A100="","",IF($A100=$C$7,$F99,MIN($F99,MAX(0,$C$12-$E100))))</f>
        <v/>
      </c>
      <c r="E100" s="23">
        <f>IF($A100="","",ROUNDDOWN(ROUND($F99*$C$6/12,4),0))</f>
        <v/>
      </c>
      <c r="F100" s="23">
        <f>IF($A100="","",$F99-$D100)</f>
        <v/>
      </c>
    </row>
    <row r="101" ht="17" customHeight="1">
      <c r="A101" s="18">
        <f>IF(81&lt;=$C$7,81,"")</f>
        <v/>
      </c>
      <c r="B101" s="19">
        <f>IF($A101="","",IF($C$8="","",EDATE($C$8,$A101-1)))</f>
        <v/>
      </c>
      <c r="C101" s="20">
        <f>IF($A101="","",$D101+$E101)</f>
        <v/>
      </c>
      <c r="D101" s="20">
        <f>IF($A101="","",IF($A101=$C$7,$F100,MIN($F100,MAX(0,$C$12-$E101))))</f>
        <v/>
      </c>
      <c r="E101" s="20">
        <f>IF($A101="","",ROUNDDOWN(ROUND($F100*$C$6/12,4),0))</f>
        <v/>
      </c>
      <c r="F101" s="20">
        <f>IF($A101="","",$F100-$D101)</f>
        <v/>
      </c>
    </row>
    <row r="102" ht="17" customHeight="1">
      <c r="A102" s="21">
        <f>IF(82&lt;=$C$7,82,"")</f>
        <v/>
      </c>
      <c r="B102" s="22">
        <f>IF($A102="","",IF($C$8="","",EDATE($C$8,$A102-1)))</f>
        <v/>
      </c>
      <c r="C102" s="23">
        <f>IF($A102="","",$D102+$E102)</f>
        <v/>
      </c>
      <c r="D102" s="23">
        <f>IF($A102="","",IF($A102=$C$7,$F101,MIN($F101,MAX(0,$C$12-$E102))))</f>
        <v/>
      </c>
      <c r="E102" s="23">
        <f>IF($A102="","",ROUNDDOWN(ROUND($F101*$C$6/12,4),0))</f>
        <v/>
      </c>
      <c r="F102" s="23">
        <f>IF($A102="","",$F101-$D102)</f>
        <v/>
      </c>
    </row>
    <row r="103" ht="17" customHeight="1">
      <c r="A103" s="18">
        <f>IF(83&lt;=$C$7,83,"")</f>
        <v/>
      </c>
      <c r="B103" s="19">
        <f>IF($A103="","",IF($C$8="","",EDATE($C$8,$A103-1)))</f>
        <v/>
      </c>
      <c r="C103" s="20">
        <f>IF($A103="","",$D103+$E103)</f>
        <v/>
      </c>
      <c r="D103" s="20">
        <f>IF($A103="","",IF($A103=$C$7,$F102,MIN($F102,MAX(0,$C$12-$E103))))</f>
        <v/>
      </c>
      <c r="E103" s="20">
        <f>IF($A103="","",ROUNDDOWN(ROUND($F102*$C$6/12,4),0))</f>
        <v/>
      </c>
      <c r="F103" s="20">
        <f>IF($A103="","",$F102-$D103)</f>
        <v/>
      </c>
    </row>
    <row r="104" ht="17" customHeight="1">
      <c r="A104" s="21">
        <f>IF(84&lt;=$C$7,84,"")</f>
        <v/>
      </c>
      <c r="B104" s="22">
        <f>IF($A104="","",IF($C$8="","",EDATE($C$8,$A104-1)))</f>
        <v/>
      </c>
      <c r="C104" s="23">
        <f>IF($A104="","",$D104+$E104)</f>
        <v/>
      </c>
      <c r="D104" s="23">
        <f>IF($A104="","",IF($A104=$C$7,$F103,MIN($F103,MAX(0,$C$12-$E104))))</f>
        <v/>
      </c>
      <c r="E104" s="23">
        <f>IF($A104="","",ROUNDDOWN(ROUND($F103*$C$6/12,4),0))</f>
        <v/>
      </c>
      <c r="F104" s="23">
        <f>IF($A104="","",$F103-$D104)</f>
        <v/>
      </c>
    </row>
    <row r="105" ht="17" customHeight="1">
      <c r="A105" s="18">
        <f>IF(85&lt;=$C$7,85,"")</f>
        <v/>
      </c>
      <c r="B105" s="19">
        <f>IF($A105="","",IF($C$8="","",EDATE($C$8,$A105-1)))</f>
        <v/>
      </c>
      <c r="C105" s="20">
        <f>IF($A105="","",$D105+$E105)</f>
        <v/>
      </c>
      <c r="D105" s="20">
        <f>IF($A105="","",IF($A105=$C$7,$F104,MIN($F104,MAX(0,$C$12-$E105))))</f>
        <v/>
      </c>
      <c r="E105" s="20">
        <f>IF($A105="","",ROUNDDOWN(ROUND($F104*$C$6/12,4),0))</f>
        <v/>
      </c>
      <c r="F105" s="20">
        <f>IF($A105="","",$F104-$D105)</f>
        <v/>
      </c>
    </row>
    <row r="106" ht="17" customHeight="1">
      <c r="A106" s="21">
        <f>IF(86&lt;=$C$7,86,"")</f>
        <v/>
      </c>
      <c r="B106" s="22">
        <f>IF($A106="","",IF($C$8="","",EDATE($C$8,$A106-1)))</f>
        <v/>
      </c>
      <c r="C106" s="23">
        <f>IF($A106="","",$D106+$E106)</f>
        <v/>
      </c>
      <c r="D106" s="23">
        <f>IF($A106="","",IF($A106=$C$7,$F105,MIN($F105,MAX(0,$C$12-$E106))))</f>
        <v/>
      </c>
      <c r="E106" s="23">
        <f>IF($A106="","",ROUNDDOWN(ROUND($F105*$C$6/12,4),0))</f>
        <v/>
      </c>
      <c r="F106" s="23">
        <f>IF($A106="","",$F105-$D106)</f>
        <v/>
      </c>
    </row>
    <row r="107" ht="17" customHeight="1">
      <c r="A107" s="18">
        <f>IF(87&lt;=$C$7,87,"")</f>
        <v/>
      </c>
      <c r="B107" s="19">
        <f>IF($A107="","",IF($C$8="","",EDATE($C$8,$A107-1)))</f>
        <v/>
      </c>
      <c r="C107" s="20">
        <f>IF($A107="","",$D107+$E107)</f>
        <v/>
      </c>
      <c r="D107" s="20">
        <f>IF($A107="","",IF($A107=$C$7,$F106,MIN($F106,MAX(0,$C$12-$E107))))</f>
        <v/>
      </c>
      <c r="E107" s="20">
        <f>IF($A107="","",ROUNDDOWN(ROUND($F106*$C$6/12,4),0))</f>
        <v/>
      </c>
      <c r="F107" s="20">
        <f>IF($A107="","",$F106-$D107)</f>
        <v/>
      </c>
    </row>
    <row r="108" ht="17" customHeight="1">
      <c r="A108" s="21">
        <f>IF(88&lt;=$C$7,88,"")</f>
        <v/>
      </c>
      <c r="B108" s="22">
        <f>IF($A108="","",IF($C$8="","",EDATE($C$8,$A108-1)))</f>
        <v/>
      </c>
      <c r="C108" s="23">
        <f>IF($A108="","",$D108+$E108)</f>
        <v/>
      </c>
      <c r="D108" s="23">
        <f>IF($A108="","",IF($A108=$C$7,$F107,MIN($F107,MAX(0,$C$12-$E108))))</f>
        <v/>
      </c>
      <c r="E108" s="23">
        <f>IF($A108="","",ROUNDDOWN(ROUND($F107*$C$6/12,4),0))</f>
        <v/>
      </c>
      <c r="F108" s="23">
        <f>IF($A108="","",$F107-$D108)</f>
        <v/>
      </c>
    </row>
    <row r="109" ht="17" customHeight="1">
      <c r="A109" s="18">
        <f>IF(89&lt;=$C$7,89,"")</f>
        <v/>
      </c>
      <c r="B109" s="19">
        <f>IF($A109="","",IF($C$8="","",EDATE($C$8,$A109-1)))</f>
        <v/>
      </c>
      <c r="C109" s="20">
        <f>IF($A109="","",$D109+$E109)</f>
        <v/>
      </c>
      <c r="D109" s="20">
        <f>IF($A109="","",IF($A109=$C$7,$F108,MIN($F108,MAX(0,$C$12-$E109))))</f>
        <v/>
      </c>
      <c r="E109" s="20">
        <f>IF($A109="","",ROUNDDOWN(ROUND($F108*$C$6/12,4),0))</f>
        <v/>
      </c>
      <c r="F109" s="20">
        <f>IF($A109="","",$F108-$D109)</f>
        <v/>
      </c>
    </row>
    <row r="110" ht="17" customHeight="1">
      <c r="A110" s="21">
        <f>IF(90&lt;=$C$7,90,"")</f>
        <v/>
      </c>
      <c r="B110" s="22">
        <f>IF($A110="","",IF($C$8="","",EDATE($C$8,$A110-1)))</f>
        <v/>
      </c>
      <c r="C110" s="23">
        <f>IF($A110="","",$D110+$E110)</f>
        <v/>
      </c>
      <c r="D110" s="23">
        <f>IF($A110="","",IF($A110=$C$7,$F109,MIN($F109,MAX(0,$C$12-$E110))))</f>
        <v/>
      </c>
      <c r="E110" s="23">
        <f>IF($A110="","",ROUNDDOWN(ROUND($F109*$C$6/12,4),0))</f>
        <v/>
      </c>
      <c r="F110" s="23">
        <f>IF($A110="","",$F109-$D110)</f>
        <v/>
      </c>
    </row>
    <row r="111" ht="17" customHeight="1">
      <c r="A111" s="18">
        <f>IF(91&lt;=$C$7,91,"")</f>
        <v/>
      </c>
      <c r="B111" s="19">
        <f>IF($A111="","",IF($C$8="","",EDATE($C$8,$A111-1)))</f>
        <v/>
      </c>
      <c r="C111" s="20">
        <f>IF($A111="","",$D111+$E111)</f>
        <v/>
      </c>
      <c r="D111" s="20">
        <f>IF($A111="","",IF($A111=$C$7,$F110,MIN($F110,MAX(0,$C$12-$E111))))</f>
        <v/>
      </c>
      <c r="E111" s="20">
        <f>IF($A111="","",ROUNDDOWN(ROUND($F110*$C$6/12,4),0))</f>
        <v/>
      </c>
      <c r="F111" s="20">
        <f>IF($A111="","",$F110-$D111)</f>
        <v/>
      </c>
    </row>
    <row r="112" ht="17" customHeight="1">
      <c r="A112" s="21">
        <f>IF(92&lt;=$C$7,92,"")</f>
        <v/>
      </c>
      <c r="B112" s="22">
        <f>IF($A112="","",IF($C$8="","",EDATE($C$8,$A112-1)))</f>
        <v/>
      </c>
      <c r="C112" s="23">
        <f>IF($A112="","",$D112+$E112)</f>
        <v/>
      </c>
      <c r="D112" s="23">
        <f>IF($A112="","",IF($A112=$C$7,$F111,MIN($F111,MAX(0,$C$12-$E112))))</f>
        <v/>
      </c>
      <c r="E112" s="23">
        <f>IF($A112="","",ROUNDDOWN(ROUND($F111*$C$6/12,4),0))</f>
        <v/>
      </c>
      <c r="F112" s="23">
        <f>IF($A112="","",$F111-$D112)</f>
        <v/>
      </c>
    </row>
    <row r="113" ht="17" customHeight="1">
      <c r="A113" s="18">
        <f>IF(93&lt;=$C$7,93,"")</f>
        <v/>
      </c>
      <c r="B113" s="19">
        <f>IF($A113="","",IF($C$8="","",EDATE($C$8,$A113-1)))</f>
        <v/>
      </c>
      <c r="C113" s="20">
        <f>IF($A113="","",$D113+$E113)</f>
        <v/>
      </c>
      <c r="D113" s="20">
        <f>IF($A113="","",IF($A113=$C$7,$F112,MIN($F112,MAX(0,$C$12-$E113))))</f>
        <v/>
      </c>
      <c r="E113" s="20">
        <f>IF($A113="","",ROUNDDOWN(ROUND($F112*$C$6/12,4),0))</f>
        <v/>
      </c>
      <c r="F113" s="20">
        <f>IF($A113="","",$F112-$D113)</f>
        <v/>
      </c>
    </row>
    <row r="114" ht="17" customHeight="1">
      <c r="A114" s="21">
        <f>IF(94&lt;=$C$7,94,"")</f>
        <v/>
      </c>
      <c r="B114" s="22">
        <f>IF($A114="","",IF($C$8="","",EDATE($C$8,$A114-1)))</f>
        <v/>
      </c>
      <c r="C114" s="23">
        <f>IF($A114="","",$D114+$E114)</f>
        <v/>
      </c>
      <c r="D114" s="23">
        <f>IF($A114="","",IF($A114=$C$7,$F113,MIN($F113,MAX(0,$C$12-$E114))))</f>
        <v/>
      </c>
      <c r="E114" s="23">
        <f>IF($A114="","",ROUNDDOWN(ROUND($F113*$C$6/12,4),0))</f>
        <v/>
      </c>
      <c r="F114" s="23">
        <f>IF($A114="","",$F113-$D114)</f>
        <v/>
      </c>
    </row>
    <row r="115" ht="17" customHeight="1">
      <c r="A115" s="18">
        <f>IF(95&lt;=$C$7,95,"")</f>
        <v/>
      </c>
      <c r="B115" s="19">
        <f>IF($A115="","",IF($C$8="","",EDATE($C$8,$A115-1)))</f>
        <v/>
      </c>
      <c r="C115" s="20">
        <f>IF($A115="","",$D115+$E115)</f>
        <v/>
      </c>
      <c r="D115" s="20">
        <f>IF($A115="","",IF($A115=$C$7,$F114,MIN($F114,MAX(0,$C$12-$E115))))</f>
        <v/>
      </c>
      <c r="E115" s="20">
        <f>IF($A115="","",ROUNDDOWN(ROUND($F114*$C$6/12,4),0))</f>
        <v/>
      </c>
      <c r="F115" s="20">
        <f>IF($A115="","",$F114-$D115)</f>
        <v/>
      </c>
    </row>
    <row r="116" ht="17" customHeight="1">
      <c r="A116" s="21">
        <f>IF(96&lt;=$C$7,96,"")</f>
        <v/>
      </c>
      <c r="B116" s="22">
        <f>IF($A116="","",IF($C$8="","",EDATE($C$8,$A116-1)))</f>
        <v/>
      </c>
      <c r="C116" s="23">
        <f>IF($A116="","",$D116+$E116)</f>
        <v/>
      </c>
      <c r="D116" s="23">
        <f>IF($A116="","",IF($A116=$C$7,$F115,MIN($F115,MAX(0,$C$12-$E116))))</f>
        <v/>
      </c>
      <c r="E116" s="23">
        <f>IF($A116="","",ROUNDDOWN(ROUND($F115*$C$6/12,4),0))</f>
        <v/>
      </c>
      <c r="F116" s="23">
        <f>IF($A116="","",$F115-$D116)</f>
        <v/>
      </c>
    </row>
    <row r="117" ht="17" customHeight="1">
      <c r="A117" s="18">
        <f>IF(97&lt;=$C$7,97,"")</f>
        <v/>
      </c>
      <c r="B117" s="19">
        <f>IF($A117="","",IF($C$8="","",EDATE($C$8,$A117-1)))</f>
        <v/>
      </c>
      <c r="C117" s="20">
        <f>IF($A117="","",$D117+$E117)</f>
        <v/>
      </c>
      <c r="D117" s="20">
        <f>IF($A117="","",IF($A117=$C$7,$F116,MIN($F116,MAX(0,$C$12-$E117))))</f>
        <v/>
      </c>
      <c r="E117" s="20">
        <f>IF($A117="","",ROUNDDOWN(ROUND($F116*$C$6/12,4),0))</f>
        <v/>
      </c>
      <c r="F117" s="20">
        <f>IF($A117="","",$F116-$D117)</f>
        <v/>
      </c>
    </row>
    <row r="118" ht="17" customHeight="1">
      <c r="A118" s="21">
        <f>IF(98&lt;=$C$7,98,"")</f>
        <v/>
      </c>
      <c r="B118" s="22">
        <f>IF($A118="","",IF($C$8="","",EDATE($C$8,$A118-1)))</f>
        <v/>
      </c>
      <c r="C118" s="23">
        <f>IF($A118="","",$D118+$E118)</f>
        <v/>
      </c>
      <c r="D118" s="23">
        <f>IF($A118="","",IF($A118=$C$7,$F117,MIN($F117,MAX(0,$C$12-$E118))))</f>
        <v/>
      </c>
      <c r="E118" s="23">
        <f>IF($A118="","",ROUNDDOWN(ROUND($F117*$C$6/12,4),0))</f>
        <v/>
      </c>
      <c r="F118" s="23">
        <f>IF($A118="","",$F117-$D118)</f>
        <v/>
      </c>
    </row>
    <row r="119" ht="17" customHeight="1">
      <c r="A119" s="18">
        <f>IF(99&lt;=$C$7,99,"")</f>
        <v/>
      </c>
      <c r="B119" s="19">
        <f>IF($A119="","",IF($C$8="","",EDATE($C$8,$A119-1)))</f>
        <v/>
      </c>
      <c r="C119" s="20">
        <f>IF($A119="","",$D119+$E119)</f>
        <v/>
      </c>
      <c r="D119" s="20">
        <f>IF($A119="","",IF($A119=$C$7,$F118,MIN($F118,MAX(0,$C$12-$E119))))</f>
        <v/>
      </c>
      <c r="E119" s="20">
        <f>IF($A119="","",ROUNDDOWN(ROUND($F118*$C$6/12,4),0))</f>
        <v/>
      </c>
      <c r="F119" s="20">
        <f>IF($A119="","",$F118-$D119)</f>
        <v/>
      </c>
    </row>
    <row r="120" ht="17" customHeight="1">
      <c r="A120" s="21">
        <f>IF(100&lt;=$C$7,100,"")</f>
        <v/>
      </c>
      <c r="B120" s="22">
        <f>IF($A120="","",IF($C$8="","",EDATE($C$8,$A120-1)))</f>
        <v/>
      </c>
      <c r="C120" s="23">
        <f>IF($A120="","",$D120+$E120)</f>
        <v/>
      </c>
      <c r="D120" s="23">
        <f>IF($A120="","",IF($A120=$C$7,$F119,MIN($F119,MAX(0,$C$12-$E120))))</f>
        <v/>
      </c>
      <c r="E120" s="23">
        <f>IF($A120="","",ROUNDDOWN(ROUND($F119*$C$6/12,4),0))</f>
        <v/>
      </c>
      <c r="F120" s="23">
        <f>IF($A120="","",$F119-$D120)</f>
        <v/>
      </c>
    </row>
    <row r="121" ht="17" customHeight="1">
      <c r="A121" s="18">
        <f>IF(101&lt;=$C$7,101,"")</f>
        <v/>
      </c>
      <c r="B121" s="19">
        <f>IF($A121="","",IF($C$8="","",EDATE($C$8,$A121-1)))</f>
        <v/>
      </c>
      <c r="C121" s="20">
        <f>IF($A121="","",$D121+$E121)</f>
        <v/>
      </c>
      <c r="D121" s="20">
        <f>IF($A121="","",IF($A121=$C$7,$F120,MIN($F120,MAX(0,$C$12-$E121))))</f>
        <v/>
      </c>
      <c r="E121" s="20">
        <f>IF($A121="","",ROUNDDOWN(ROUND($F120*$C$6/12,4),0))</f>
        <v/>
      </c>
      <c r="F121" s="20">
        <f>IF($A121="","",$F120-$D121)</f>
        <v/>
      </c>
    </row>
    <row r="122" ht="17" customHeight="1">
      <c r="A122" s="21">
        <f>IF(102&lt;=$C$7,102,"")</f>
        <v/>
      </c>
      <c r="B122" s="22">
        <f>IF($A122="","",IF($C$8="","",EDATE($C$8,$A122-1)))</f>
        <v/>
      </c>
      <c r="C122" s="23">
        <f>IF($A122="","",$D122+$E122)</f>
        <v/>
      </c>
      <c r="D122" s="23">
        <f>IF($A122="","",IF($A122=$C$7,$F121,MIN($F121,MAX(0,$C$12-$E122))))</f>
        <v/>
      </c>
      <c r="E122" s="23">
        <f>IF($A122="","",ROUNDDOWN(ROUND($F121*$C$6/12,4),0))</f>
        <v/>
      </c>
      <c r="F122" s="23">
        <f>IF($A122="","",$F121-$D122)</f>
        <v/>
      </c>
    </row>
    <row r="123" ht="17" customHeight="1">
      <c r="A123" s="18">
        <f>IF(103&lt;=$C$7,103,"")</f>
        <v/>
      </c>
      <c r="B123" s="19">
        <f>IF($A123="","",IF($C$8="","",EDATE($C$8,$A123-1)))</f>
        <v/>
      </c>
      <c r="C123" s="20">
        <f>IF($A123="","",$D123+$E123)</f>
        <v/>
      </c>
      <c r="D123" s="20">
        <f>IF($A123="","",IF($A123=$C$7,$F122,MIN($F122,MAX(0,$C$12-$E123))))</f>
        <v/>
      </c>
      <c r="E123" s="20">
        <f>IF($A123="","",ROUNDDOWN(ROUND($F122*$C$6/12,4),0))</f>
        <v/>
      </c>
      <c r="F123" s="20">
        <f>IF($A123="","",$F122-$D123)</f>
        <v/>
      </c>
    </row>
    <row r="124" ht="17" customHeight="1">
      <c r="A124" s="21">
        <f>IF(104&lt;=$C$7,104,"")</f>
        <v/>
      </c>
      <c r="B124" s="22">
        <f>IF($A124="","",IF($C$8="","",EDATE($C$8,$A124-1)))</f>
        <v/>
      </c>
      <c r="C124" s="23">
        <f>IF($A124="","",$D124+$E124)</f>
        <v/>
      </c>
      <c r="D124" s="23">
        <f>IF($A124="","",IF($A124=$C$7,$F123,MIN($F123,MAX(0,$C$12-$E124))))</f>
        <v/>
      </c>
      <c r="E124" s="23">
        <f>IF($A124="","",ROUNDDOWN(ROUND($F123*$C$6/12,4),0))</f>
        <v/>
      </c>
      <c r="F124" s="23">
        <f>IF($A124="","",$F123-$D124)</f>
        <v/>
      </c>
    </row>
    <row r="125" ht="17" customHeight="1">
      <c r="A125" s="18">
        <f>IF(105&lt;=$C$7,105,"")</f>
        <v/>
      </c>
      <c r="B125" s="19">
        <f>IF($A125="","",IF($C$8="","",EDATE($C$8,$A125-1)))</f>
        <v/>
      </c>
      <c r="C125" s="20">
        <f>IF($A125="","",$D125+$E125)</f>
        <v/>
      </c>
      <c r="D125" s="20">
        <f>IF($A125="","",IF($A125=$C$7,$F124,MIN($F124,MAX(0,$C$12-$E125))))</f>
        <v/>
      </c>
      <c r="E125" s="20">
        <f>IF($A125="","",ROUNDDOWN(ROUND($F124*$C$6/12,4),0))</f>
        <v/>
      </c>
      <c r="F125" s="20">
        <f>IF($A125="","",$F124-$D125)</f>
        <v/>
      </c>
    </row>
    <row r="126" ht="17" customHeight="1">
      <c r="A126" s="21">
        <f>IF(106&lt;=$C$7,106,"")</f>
        <v/>
      </c>
      <c r="B126" s="22">
        <f>IF($A126="","",IF($C$8="","",EDATE($C$8,$A126-1)))</f>
        <v/>
      </c>
      <c r="C126" s="23">
        <f>IF($A126="","",$D126+$E126)</f>
        <v/>
      </c>
      <c r="D126" s="23">
        <f>IF($A126="","",IF($A126=$C$7,$F125,MIN($F125,MAX(0,$C$12-$E126))))</f>
        <v/>
      </c>
      <c r="E126" s="23">
        <f>IF($A126="","",ROUNDDOWN(ROUND($F125*$C$6/12,4),0))</f>
        <v/>
      </c>
      <c r="F126" s="23">
        <f>IF($A126="","",$F125-$D126)</f>
        <v/>
      </c>
    </row>
    <row r="127" ht="17" customHeight="1">
      <c r="A127" s="18">
        <f>IF(107&lt;=$C$7,107,"")</f>
        <v/>
      </c>
      <c r="B127" s="19">
        <f>IF($A127="","",IF($C$8="","",EDATE($C$8,$A127-1)))</f>
        <v/>
      </c>
      <c r="C127" s="20">
        <f>IF($A127="","",$D127+$E127)</f>
        <v/>
      </c>
      <c r="D127" s="20">
        <f>IF($A127="","",IF($A127=$C$7,$F126,MIN($F126,MAX(0,$C$12-$E127))))</f>
        <v/>
      </c>
      <c r="E127" s="20">
        <f>IF($A127="","",ROUNDDOWN(ROUND($F126*$C$6/12,4),0))</f>
        <v/>
      </c>
      <c r="F127" s="20">
        <f>IF($A127="","",$F126-$D127)</f>
        <v/>
      </c>
    </row>
    <row r="128" ht="17" customHeight="1">
      <c r="A128" s="21">
        <f>IF(108&lt;=$C$7,108,"")</f>
        <v/>
      </c>
      <c r="B128" s="22">
        <f>IF($A128="","",IF($C$8="","",EDATE($C$8,$A128-1)))</f>
        <v/>
      </c>
      <c r="C128" s="23">
        <f>IF($A128="","",$D128+$E128)</f>
        <v/>
      </c>
      <c r="D128" s="23">
        <f>IF($A128="","",IF($A128=$C$7,$F127,MIN($F127,MAX(0,$C$12-$E128))))</f>
        <v/>
      </c>
      <c r="E128" s="23">
        <f>IF($A128="","",ROUNDDOWN(ROUND($F127*$C$6/12,4),0))</f>
        <v/>
      </c>
      <c r="F128" s="23">
        <f>IF($A128="","",$F127-$D128)</f>
        <v/>
      </c>
    </row>
    <row r="129" ht="17" customHeight="1">
      <c r="A129" s="18">
        <f>IF(109&lt;=$C$7,109,"")</f>
        <v/>
      </c>
      <c r="B129" s="19">
        <f>IF($A129="","",IF($C$8="","",EDATE($C$8,$A129-1)))</f>
        <v/>
      </c>
      <c r="C129" s="20">
        <f>IF($A129="","",$D129+$E129)</f>
        <v/>
      </c>
      <c r="D129" s="20">
        <f>IF($A129="","",IF($A129=$C$7,$F128,MIN($F128,MAX(0,$C$12-$E129))))</f>
        <v/>
      </c>
      <c r="E129" s="20">
        <f>IF($A129="","",ROUNDDOWN(ROUND($F128*$C$6/12,4),0))</f>
        <v/>
      </c>
      <c r="F129" s="20">
        <f>IF($A129="","",$F128-$D129)</f>
        <v/>
      </c>
    </row>
    <row r="130" ht="17" customHeight="1">
      <c r="A130" s="21">
        <f>IF(110&lt;=$C$7,110,"")</f>
        <v/>
      </c>
      <c r="B130" s="22">
        <f>IF($A130="","",IF($C$8="","",EDATE($C$8,$A130-1)))</f>
        <v/>
      </c>
      <c r="C130" s="23">
        <f>IF($A130="","",$D130+$E130)</f>
        <v/>
      </c>
      <c r="D130" s="23">
        <f>IF($A130="","",IF($A130=$C$7,$F129,MIN($F129,MAX(0,$C$12-$E130))))</f>
        <v/>
      </c>
      <c r="E130" s="23">
        <f>IF($A130="","",ROUNDDOWN(ROUND($F129*$C$6/12,4),0))</f>
        <v/>
      </c>
      <c r="F130" s="23">
        <f>IF($A130="","",$F129-$D130)</f>
        <v/>
      </c>
    </row>
    <row r="131" ht="17" customHeight="1">
      <c r="A131" s="18">
        <f>IF(111&lt;=$C$7,111,"")</f>
        <v/>
      </c>
      <c r="B131" s="19">
        <f>IF($A131="","",IF($C$8="","",EDATE($C$8,$A131-1)))</f>
        <v/>
      </c>
      <c r="C131" s="20">
        <f>IF($A131="","",$D131+$E131)</f>
        <v/>
      </c>
      <c r="D131" s="20">
        <f>IF($A131="","",IF($A131=$C$7,$F130,MIN($F130,MAX(0,$C$12-$E131))))</f>
        <v/>
      </c>
      <c r="E131" s="20">
        <f>IF($A131="","",ROUNDDOWN(ROUND($F130*$C$6/12,4),0))</f>
        <v/>
      </c>
      <c r="F131" s="20">
        <f>IF($A131="","",$F130-$D131)</f>
        <v/>
      </c>
    </row>
    <row r="132" ht="17" customHeight="1">
      <c r="A132" s="21">
        <f>IF(112&lt;=$C$7,112,"")</f>
        <v/>
      </c>
      <c r="B132" s="22">
        <f>IF($A132="","",IF($C$8="","",EDATE($C$8,$A132-1)))</f>
        <v/>
      </c>
      <c r="C132" s="23">
        <f>IF($A132="","",$D132+$E132)</f>
        <v/>
      </c>
      <c r="D132" s="23">
        <f>IF($A132="","",IF($A132=$C$7,$F131,MIN($F131,MAX(0,$C$12-$E132))))</f>
        <v/>
      </c>
      <c r="E132" s="23">
        <f>IF($A132="","",ROUNDDOWN(ROUND($F131*$C$6/12,4),0))</f>
        <v/>
      </c>
      <c r="F132" s="23">
        <f>IF($A132="","",$F131-$D132)</f>
        <v/>
      </c>
    </row>
    <row r="133" ht="17" customHeight="1">
      <c r="A133" s="18">
        <f>IF(113&lt;=$C$7,113,"")</f>
        <v/>
      </c>
      <c r="B133" s="19">
        <f>IF($A133="","",IF($C$8="","",EDATE($C$8,$A133-1)))</f>
        <v/>
      </c>
      <c r="C133" s="20">
        <f>IF($A133="","",$D133+$E133)</f>
        <v/>
      </c>
      <c r="D133" s="20">
        <f>IF($A133="","",IF($A133=$C$7,$F132,MIN($F132,MAX(0,$C$12-$E133))))</f>
        <v/>
      </c>
      <c r="E133" s="20">
        <f>IF($A133="","",ROUNDDOWN(ROUND($F132*$C$6/12,4),0))</f>
        <v/>
      </c>
      <c r="F133" s="20">
        <f>IF($A133="","",$F132-$D133)</f>
        <v/>
      </c>
    </row>
    <row r="134" ht="17" customHeight="1">
      <c r="A134" s="21">
        <f>IF(114&lt;=$C$7,114,"")</f>
        <v/>
      </c>
      <c r="B134" s="22">
        <f>IF($A134="","",IF($C$8="","",EDATE($C$8,$A134-1)))</f>
        <v/>
      </c>
      <c r="C134" s="23">
        <f>IF($A134="","",$D134+$E134)</f>
        <v/>
      </c>
      <c r="D134" s="23">
        <f>IF($A134="","",IF($A134=$C$7,$F133,MIN($F133,MAX(0,$C$12-$E134))))</f>
        <v/>
      </c>
      <c r="E134" s="23">
        <f>IF($A134="","",ROUNDDOWN(ROUND($F133*$C$6/12,4),0))</f>
        <v/>
      </c>
      <c r="F134" s="23">
        <f>IF($A134="","",$F133-$D134)</f>
        <v/>
      </c>
    </row>
    <row r="135" ht="17" customHeight="1">
      <c r="A135" s="18">
        <f>IF(115&lt;=$C$7,115,"")</f>
        <v/>
      </c>
      <c r="B135" s="19">
        <f>IF($A135="","",IF($C$8="","",EDATE($C$8,$A135-1)))</f>
        <v/>
      </c>
      <c r="C135" s="20">
        <f>IF($A135="","",$D135+$E135)</f>
        <v/>
      </c>
      <c r="D135" s="20">
        <f>IF($A135="","",IF($A135=$C$7,$F134,MIN($F134,MAX(0,$C$12-$E135))))</f>
        <v/>
      </c>
      <c r="E135" s="20">
        <f>IF($A135="","",ROUNDDOWN(ROUND($F134*$C$6/12,4),0))</f>
        <v/>
      </c>
      <c r="F135" s="20">
        <f>IF($A135="","",$F134-$D135)</f>
        <v/>
      </c>
    </row>
    <row r="136" ht="17" customHeight="1">
      <c r="A136" s="21">
        <f>IF(116&lt;=$C$7,116,"")</f>
        <v/>
      </c>
      <c r="B136" s="22">
        <f>IF($A136="","",IF($C$8="","",EDATE($C$8,$A136-1)))</f>
        <v/>
      </c>
      <c r="C136" s="23">
        <f>IF($A136="","",$D136+$E136)</f>
        <v/>
      </c>
      <c r="D136" s="23">
        <f>IF($A136="","",IF($A136=$C$7,$F135,MIN($F135,MAX(0,$C$12-$E136))))</f>
        <v/>
      </c>
      <c r="E136" s="23">
        <f>IF($A136="","",ROUNDDOWN(ROUND($F135*$C$6/12,4),0))</f>
        <v/>
      </c>
      <c r="F136" s="23">
        <f>IF($A136="","",$F135-$D136)</f>
        <v/>
      </c>
    </row>
    <row r="137" ht="17" customHeight="1">
      <c r="A137" s="18">
        <f>IF(117&lt;=$C$7,117,"")</f>
        <v/>
      </c>
      <c r="B137" s="19">
        <f>IF($A137="","",IF($C$8="","",EDATE($C$8,$A137-1)))</f>
        <v/>
      </c>
      <c r="C137" s="20">
        <f>IF($A137="","",$D137+$E137)</f>
        <v/>
      </c>
      <c r="D137" s="20">
        <f>IF($A137="","",IF($A137=$C$7,$F136,MIN($F136,MAX(0,$C$12-$E137))))</f>
        <v/>
      </c>
      <c r="E137" s="20">
        <f>IF($A137="","",ROUNDDOWN(ROUND($F136*$C$6/12,4),0))</f>
        <v/>
      </c>
      <c r="F137" s="20">
        <f>IF($A137="","",$F136-$D137)</f>
        <v/>
      </c>
    </row>
    <row r="138" ht="17" customHeight="1">
      <c r="A138" s="21">
        <f>IF(118&lt;=$C$7,118,"")</f>
        <v/>
      </c>
      <c r="B138" s="22">
        <f>IF($A138="","",IF($C$8="","",EDATE($C$8,$A138-1)))</f>
        <v/>
      </c>
      <c r="C138" s="23">
        <f>IF($A138="","",$D138+$E138)</f>
        <v/>
      </c>
      <c r="D138" s="23">
        <f>IF($A138="","",IF($A138=$C$7,$F137,MIN($F137,MAX(0,$C$12-$E138))))</f>
        <v/>
      </c>
      <c r="E138" s="23">
        <f>IF($A138="","",ROUNDDOWN(ROUND($F137*$C$6/12,4),0))</f>
        <v/>
      </c>
      <c r="F138" s="23">
        <f>IF($A138="","",$F137-$D138)</f>
        <v/>
      </c>
    </row>
    <row r="139" ht="17" customHeight="1">
      <c r="A139" s="18">
        <f>IF(119&lt;=$C$7,119,"")</f>
        <v/>
      </c>
      <c r="B139" s="19">
        <f>IF($A139="","",IF($C$8="","",EDATE($C$8,$A139-1)))</f>
        <v/>
      </c>
      <c r="C139" s="20">
        <f>IF($A139="","",$D139+$E139)</f>
        <v/>
      </c>
      <c r="D139" s="20">
        <f>IF($A139="","",IF($A139=$C$7,$F138,MIN($F138,MAX(0,$C$12-$E139))))</f>
        <v/>
      </c>
      <c r="E139" s="20">
        <f>IF($A139="","",ROUNDDOWN(ROUND($F138*$C$6/12,4),0))</f>
        <v/>
      </c>
      <c r="F139" s="20">
        <f>IF($A139="","",$F138-$D139)</f>
        <v/>
      </c>
    </row>
    <row r="140" ht="17" customHeight="1">
      <c r="A140" s="21">
        <f>IF(120&lt;=$C$7,120,"")</f>
        <v/>
      </c>
      <c r="B140" s="22">
        <f>IF($A140="","",IF($C$8="","",EDATE($C$8,$A140-1)))</f>
        <v/>
      </c>
      <c r="C140" s="23">
        <f>IF($A140="","",$D140+$E140)</f>
        <v/>
      </c>
      <c r="D140" s="23">
        <f>IF($A140="","",IF($A140=$C$7,$F139,MIN($F139,MAX(0,$C$12-$E140))))</f>
        <v/>
      </c>
      <c r="E140" s="23">
        <f>IF($A140="","",ROUNDDOWN(ROUND($F139*$C$6/12,4),0))</f>
        <v/>
      </c>
      <c r="F140" s="23">
        <f>IF($A140="","",$F139-$D140)</f>
        <v/>
      </c>
    </row>
    <row r="142" ht="26" customHeight="1">
      <c r="A142" s="24" t="inlineStr">
        <is>
          <t>※1 利息は「前回返済後の残高 × 年利率 ÷ 12」で計算し、円未満を切り捨てています。金融機関の実際の返済予定表は日割り（365日）計算のため、数円〜数十円の差が出ることがあります。</t>
        </is>
      </c>
    </row>
    <row r="143" ht="16" customHeight="1">
      <c r="A143" s="24" t="inlineStr">
        <is>
          <t>※2 端数の調整のため、最終回の返済額だけ他の回と金額が異なります（残高を全額返済します）。</t>
        </is>
      </c>
    </row>
    <row r="144" ht="26" customHeight="1">
      <c r="A144" s="24" t="inlineStr">
        <is>
          <t>※3 本シートの計算結果は参考値です。実際の返済額・利息は金融機関の返済予定表をご確認ください。税務・会計上の最終的な判断は税理士等の専門家にご相談ください。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mergeCells count="40">
    <mergeCell ref="E12:F12"/>
    <mergeCell ref="C6:D6"/>
    <mergeCell ref="A15:B15"/>
    <mergeCell ref="C15:D15"/>
    <mergeCell ref="C5:D5"/>
    <mergeCell ref="E5:F5"/>
    <mergeCell ref="C14:D14"/>
    <mergeCell ref="E14:F14"/>
    <mergeCell ref="E17:F17"/>
    <mergeCell ref="E8:F8"/>
    <mergeCell ref="A6:B6"/>
    <mergeCell ref="A2:F2"/>
    <mergeCell ref="A16:B16"/>
    <mergeCell ref="A7:B7"/>
    <mergeCell ref="C16:D16"/>
    <mergeCell ref="A144:F144"/>
    <mergeCell ref="E13:F13"/>
    <mergeCell ref="A4:F4"/>
    <mergeCell ref="C9:D9"/>
    <mergeCell ref="E9:F9"/>
    <mergeCell ref="A12:B12"/>
    <mergeCell ref="C12:D12"/>
    <mergeCell ref="E6:F6"/>
    <mergeCell ref="A19:F19"/>
    <mergeCell ref="A5:B5"/>
    <mergeCell ref="A14:B14"/>
    <mergeCell ref="A143:F143"/>
    <mergeCell ref="A17:B17"/>
    <mergeCell ref="A8:B8"/>
    <mergeCell ref="C17:D17"/>
    <mergeCell ref="C8:D8"/>
    <mergeCell ref="A142:F142"/>
    <mergeCell ref="A11:F11"/>
    <mergeCell ref="C7:D7"/>
    <mergeCell ref="E16:F16"/>
    <mergeCell ref="E7:F7"/>
    <mergeCell ref="A1:F1"/>
    <mergeCell ref="A13:B13"/>
    <mergeCell ref="C13:D13"/>
    <mergeCell ref="A9:B9"/>
  </mergeCells>
  <dataValidations count="3">
    <dataValidation sqref="C5" showDropDown="0" showInputMessage="0" showErrorMessage="1" allowBlank="1" errorTitle="入力エラー" error="借入金額は0より大きい数値を入力してください。" type="decimal" operator="greaterThan">
      <formula1>0</formula1>
    </dataValidation>
    <dataValidation sqref="C6" showDropDown="0" showInputMessage="0" showErrorMessage="1" allowBlank="1" errorTitle="入力エラー" error="年利率は0%〜30%の範囲で入力してください。&#10;「1.8%」のように % を付けて入力します。" type="decimal" operator="between">
      <formula1>0</formula1>
      <formula2>0.3</formula2>
    </dataValidation>
    <dataValidation sqref="C7" showDropDown="0" showInputMessage="0" showErrorMessage="1" allowBlank="1" errorTitle="入力エラー" error="返済回数は1〜120 の整数で入力してください。&#10;無料版は最大120回（10年）までです。" type="whole" operator="between">
      <formula1>1</formula1>
      <formula2>120</formula2>
    </dataValidation>
  </dataValidations>
  <pageMargins left="0.4" right="0.4" top="0.5" bottom="0.5" header="0.5" footer="0.5"/>
  <pageSetup orientation="portrait" paperSize="9" fitToHeight="0" fitToWidth="1"/>
</worksheet>
</file>

<file path=xl/worksheets/sheet3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26" customWidth="1" min="2" max="2"/>
    <col width="66" customWidth="1" min="3" max="3"/>
  </cols>
  <sheetData>
    <row r="1" ht="28" customHeight="1">
      <c r="A1" s="1" t="inlineStr">
        <is>
          <t>使い方</t>
        </is>
      </c>
    </row>
    <row r="2">
      <c r="A2" s="2" t="inlineStr">
        <is>
          <t>借入金返済予定表（元利均等返済）無料版 v1.0</t>
        </is>
      </c>
    </row>
    <row r="4" ht="46" customHeight="1">
      <c r="A4" s="25" t="inlineStr">
        <is>
          <t>1</t>
        </is>
      </c>
      <c r="B4" s="26" t="inlineStr">
        <is>
          <t>入力するのは4か所だけ</t>
        </is>
      </c>
      <c r="C4" s="27" t="inlineStr">
        <is>
          <t>「返済予定表」シートの青いセルに、借入金額・年利率・返済回数（か月）・初回返済日を入力します。灰色のセルは自動計算なので触る必要はありません。</t>
        </is>
      </c>
    </row>
    <row r="5" ht="46" customHeight="1">
      <c r="A5" s="25" t="inlineStr">
        <is>
          <t>2</t>
        </is>
      </c>
      <c r="B5" s="26" t="inlineStr">
        <is>
          <t>年利率は「%」を付けて入力</t>
        </is>
      </c>
      <c r="C5" s="27" t="inlineStr">
        <is>
          <t>1.8% の場合は「1.8%」と入力します。「1.8」と入力すると180%になります。画面右側のチェック欄（H列）に警告が出るので、赤い文字が出ていないか確認してください。</t>
        </is>
      </c>
    </row>
    <row r="6" ht="46" customHeight="1">
      <c r="A6" s="25" t="inlineStr">
        <is>
          <t>3</t>
        </is>
      </c>
      <c r="B6" s="26" t="inlineStr">
        <is>
          <t>決算日で決算書の金額が出る</t>
        </is>
      </c>
      <c r="C6" s="27" t="inlineStr">
        <is>
          <t>決算日（例：2027/3/31）を入れると、「決算日時点の借入残高」と「うち1年以内に返済する元金」が自動で出ます。後者はそのまま貸借対照表の「1年内返済予定の長期借入金」に使えます。</t>
        </is>
      </c>
    </row>
    <row r="7" ht="46" customHeight="1">
      <c r="A7" s="25" t="inlineStr">
        <is>
          <t>4</t>
        </is>
      </c>
      <c r="B7" s="26" t="inlineStr">
        <is>
          <t>印刷はそのままA4縦</t>
        </is>
      </c>
      <c r="C7" s="27" t="inlineStr">
        <is>
          <t>印刷範囲と見出しの繰り返しを設定済みです。返済回数より下の行は空欄のまま印刷されるので、ページ数を減らしたいときは不要な行（例：61行目以降）を選んで「行の非表示」にしてください。</t>
        </is>
      </c>
    </row>
    <row r="8" ht="46" customHeight="1">
      <c r="A8" s="25" t="inlineStr">
        <is>
          <t>5</t>
        </is>
      </c>
      <c r="B8" s="26" t="inlineStr">
        <is>
          <t>記入例シートで動きを確認</t>
        </is>
      </c>
      <c r="C8" s="27" t="inlineStr">
        <is>
          <t>「記入例」シートに、借入500万円・年利1.8%・60回・初回2026/10/31・決算日2027/3/31 の例が入っています。数式は同じなので、数字を書き換えて試すこともできます。</t>
        </is>
      </c>
    </row>
    <row r="10" ht="22" customHeight="1">
      <c r="A10" s="28" t="inlineStr">
        <is>
          <t>計算のしかた</t>
        </is>
      </c>
    </row>
    <row r="11" ht="18" customHeight="1">
      <c r="A11" s="29" t="inlineStr">
        <is>
          <t>毎月の返済額 ＝ Excel の PMT 関数（元利均等）を円未満四捨五入した金額</t>
        </is>
      </c>
    </row>
    <row r="12" ht="18" customHeight="1">
      <c r="A12" s="29" t="inlineStr">
        <is>
          <t>各回の利息   ＝ 前回返済後の残高 × 年利率 ÷ 12（円未満切り捨て）</t>
        </is>
      </c>
    </row>
    <row r="13" ht="18" customHeight="1">
      <c r="A13" s="29" t="inlineStr">
        <is>
          <t>各回の元金   ＝ 毎月の返済額 − その回の利息</t>
        </is>
      </c>
    </row>
    <row r="14" ht="18" customHeight="1">
      <c r="A14" s="29" t="inlineStr">
        <is>
          <t>最終回       ＝ 残高を全額返済（端数調整のため金額が他の回と異なります）</t>
        </is>
      </c>
    </row>
    <row r="15" ht="18" customHeight="1">
      <c r="A15" s="29" t="inlineStr">
        <is>
          <t>※ 金融機関の実際の予定表は日割り（365日）計算のため、数円〜数十円の差が出ることがあります。</t>
        </is>
      </c>
    </row>
    <row r="17" ht="22" customHeight="1">
      <c r="A17" s="28" t="inlineStr">
        <is>
          <t>この無料版でできないこと</t>
        </is>
      </c>
    </row>
    <row r="18" ht="18" customHeight="1">
      <c r="A18" s="29" t="inlineStr">
        <is>
          <t>・借入は1本のみです（複数の借入をまとめて管理することはできません）</t>
        </is>
      </c>
    </row>
    <row r="19" ht="18" customHeight="1">
      <c r="A19" s="29" t="inlineStr">
        <is>
          <t>・元金均等返済・据置期間・繰上返済・ボーナス返済には対応していません</t>
        </is>
      </c>
    </row>
    <row r="20" ht="18" customHeight="1">
      <c r="A20" s="29" t="inlineStr">
        <is>
          <t>・返済回数は最大120回（10年）までです</t>
        </is>
      </c>
    </row>
    <row r="22" ht="15" customHeight="1">
      <c r="A22" s="2" t="inlineStr">
        <is>
          <t>複数の借入をまとめて管理し、年度ごとの元金・利息の集計や、</t>
        </is>
      </c>
    </row>
    <row r="23" ht="15" customHeight="1">
      <c r="A23" s="2" t="inlineStr">
        <is>
          <t>1年内返済長期借入金への振替額まで出せる「借入金管理台帳」も用意しています。</t>
        </is>
      </c>
    </row>
    <row r="24" ht="15" customHeight="1">
      <c r="A24" s="2" t="inlineStr">
        <is>
          <t>詳しくは配布元のページをご覧ください。</t>
        </is>
      </c>
    </row>
    <row r="26" ht="34" customHeight="1">
      <c r="A26" s="30" t="inlineStr">
        <is>
          <t>【免責】本シートの計算結果は参考値です。実際の返済額・利息は金融機関の返済予定表をご確認ください。税務・会計上の最終的な判断は税理士等の専門家にご相談ください。本シートの利用により生じた損害について、作成者は責任を負いかねます。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mergeCells count="16">
    <mergeCell ref="A10:C10"/>
    <mergeCell ref="A13:C13"/>
    <mergeCell ref="A11:C11"/>
    <mergeCell ref="A19:C19"/>
    <mergeCell ref="A26:C26"/>
    <mergeCell ref="A1:C1"/>
    <mergeCell ref="A23:C23"/>
    <mergeCell ref="A14:C14"/>
    <mergeCell ref="A22:C22"/>
    <mergeCell ref="A17:C17"/>
    <mergeCell ref="A18:C18"/>
    <mergeCell ref="A12:C12"/>
    <mergeCell ref="A20:C20"/>
    <mergeCell ref="A24:C24"/>
    <mergeCell ref="A2:C2"/>
    <mergeCell ref="A15:C15"/>
  </mergeCells>
  <pageMargins left="0.75" right="0.7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>借入金返済予定表（元利均等返済）無料版</dc:title>
  <dcterms:created xmlns:dcterms="http://purl.org/dc/terms/" xmlns:xsi="http://www.w3.org/2001/XMLSchema-instance" xsi:type="dcterms:W3CDTF">2026-09-07T22:59:41Z</dcterms:created>
  <dcterms:modified xmlns:dcterms="http://purl.org/dc/terms/" xmlns:xsi="http://www.w3.org/2001/XMLSchema-instance" xsi:type="dcterms:W3CDTF">2026-09-07T22:59:41Z</dcterms:modified>
</cp:coreProperties>
</file>